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540" firstSheet="10" activeTab="14"/>
  </bookViews>
  <sheets>
    <sheet name="WPC стр. под.на биц" sheetId="44" r:id="rId1"/>
    <sheet name="AWPC стр. под.на биц" sheetId="43" r:id="rId2"/>
    <sheet name="AWPC б_э тяга" sheetId="40" r:id="rId3"/>
    <sheet name="WPC б_э тяга" sheetId="37" r:id="rId4"/>
    <sheet name="AWPC ст. софт эк. жим" sheetId="35" r:id="rId5"/>
    <sheet name="AWPC 1 слой жим" sheetId="33" r:id="rId6"/>
    <sheet name="AWPC жим стоя" sheetId="31" r:id="rId7"/>
    <sheet name="AWPC б_э жим" sheetId="30" r:id="rId8"/>
    <sheet name="AWPC 1 слой ПЛ" sheetId="28" r:id="rId9"/>
    <sheet name="AWPC Класс. ПЛ" sheetId="27" r:id="rId10"/>
    <sheet name="AWPC б_э ПЛ" sheetId="26" r:id="rId11"/>
    <sheet name="WPC б_э жим" sheetId="21" r:id="rId12"/>
    <sheet name="WPC класс. ПЛ" sheetId="18" r:id="rId13"/>
    <sheet name="WPC б_э ПЛ" sheetId="17" r:id="rId14"/>
    <sheet name="Excalibur" sheetId="14" r:id="rId15"/>
    <sheet name="Rus Axle" sheetId="10" r:id="rId16"/>
    <sheet name="Rus Roullette" sheetId="9" r:id="rId17"/>
    <sheet name="AWPC НЖ 1 вес" sheetId="6" r:id="rId18"/>
    <sheet name="WPC НЖ 1 вес" sheetId="5" r:id="rId19"/>
  </sheets>
  <definedNames>
    <definedName name="_xlnm._FilterDatabase" localSheetId="18" hidden="1">'WPC НЖ 1 вес'!$A$1:$I$3</definedName>
  </definedNames>
  <calcPr calcId="144525" refMode="R1C1"/>
</workbook>
</file>

<file path=xl/sharedStrings.xml><?xml version="1.0" encoding="utf-8"?>
<sst xmlns="http://schemas.openxmlformats.org/spreadsheetml/2006/main" count="2222" uniqueCount="701">
  <si>
    <t>открытый кубок Москвы WPC/AWPC/WAA-2022
WPC строгий подъем на бицепс
Москва/Москва 12 - 13 февраля 2022 г.</t>
  </si>
  <si>
    <t>ФИО</t>
  </si>
  <si>
    <t>Возрастная группа
Дата рождения/Возраст</t>
  </si>
  <si>
    <t>Собственный 
вес</t>
  </si>
  <si>
    <t>Gloss</t>
  </si>
  <si>
    <t>Команда</t>
  </si>
  <si>
    <t>Город/Страна</t>
  </si>
  <si>
    <t>Подъем на бицепс</t>
  </si>
  <si>
    <t>Результат</t>
  </si>
  <si>
    <t>Очки</t>
  </si>
  <si>
    <t>Тренер</t>
  </si>
  <si>
    <t>Рек</t>
  </si>
  <si>
    <t>ВЕСОВАЯ КАТЕГОРИЯ   82.5</t>
  </si>
  <si>
    <t>1. Агапов Дмитрий</t>
  </si>
  <si>
    <t>Ветераны 40 - 44 (11.04.1979)/42</t>
  </si>
  <si>
    <t>80,80</t>
  </si>
  <si>
    <t xml:space="preserve">лично </t>
  </si>
  <si>
    <t xml:space="preserve">RUS/Пушкино </t>
  </si>
  <si>
    <t>65,0</t>
  </si>
  <si>
    <t>72,5</t>
  </si>
  <si>
    <t>75,0</t>
  </si>
  <si>
    <t xml:space="preserve"> </t>
  </si>
  <si>
    <t>ВЕСОВАЯ КАТЕГОРИЯ   90</t>
  </si>
  <si>
    <t>1. Ефремочкин Николай</t>
  </si>
  <si>
    <t>Открытая (08.09.1994)/27</t>
  </si>
  <si>
    <t>88,60</t>
  </si>
  <si>
    <t xml:space="preserve">IRON BAZA </t>
  </si>
  <si>
    <t xml:space="preserve">RUS/Брянск </t>
  </si>
  <si>
    <t>55,0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</si>
  <si>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</si>
  <si>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</si>
  <si>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</si>
  <si>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</si>
  <si>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</si>
  <si>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</si>
  <si>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</si>
  <si>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</si>
  <si>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</si>
  <si>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</si>
  <si>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</si>
  <si>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</si>
  <si>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Gloss </t>
  </si>
  <si>
    <t>Ефремочкин Николай</t>
  </si>
  <si>
    <t>90</t>
  </si>
  <si>
    <t>40,1245</t>
  </si>
  <si>
    <t xml:space="preserve">Ветераны </t>
  </si>
  <si>
    <t>Агапов Дмитрий</t>
  </si>
  <si>
    <t xml:space="preserve">Ветераны 40 - 44 </t>
  </si>
  <si>
    <t>82.5</t>
  </si>
  <si>
    <t>49,9889</t>
  </si>
  <si>
    <t>открытый кубок Москвы WPC/AWPC/WAA-2022
AWPC строгий подъем на бицепс
Москва/Москва 12 - 13 февраля 2022 г.</t>
  </si>
  <si>
    <t>ВЕСОВАЯ КАТЕГОРИЯ   67.5</t>
  </si>
  <si>
    <t>1. Ищенко Дмитрий</t>
  </si>
  <si>
    <t>Открытая (10.12.1996)/25</t>
  </si>
  <si>
    <t>66,40</t>
  </si>
  <si>
    <t xml:space="preserve">RUS/Москва </t>
  </si>
  <si>
    <t>50,0</t>
  </si>
  <si>
    <t>52,5</t>
  </si>
  <si>
    <t>ВЕСОВАЯ КАТЕГОРИЯ   75</t>
  </si>
  <si>
    <t>1. Гуров Матвей</t>
  </si>
  <si>
    <t>Юноши 18 - 19 (23.12.2002)/19</t>
  </si>
  <si>
    <t>74,00</t>
  </si>
  <si>
    <t>45,0</t>
  </si>
  <si>
    <t>1. Герасимов Артур</t>
  </si>
  <si>
    <t>Открытая (28.10.1988)/33</t>
  </si>
  <si>
    <t>74,80</t>
  </si>
  <si>
    <t xml:space="preserve">RUS/Красногорск </t>
  </si>
  <si>
    <t>1. Петрухин Василий</t>
  </si>
  <si>
    <t>Ветераны 40 - 44 (03.10.1978)/43</t>
  </si>
  <si>
    <t>74,20</t>
  </si>
  <si>
    <t>57,5</t>
  </si>
  <si>
    <t>1. Умеренков Даниил</t>
  </si>
  <si>
    <t>Юноши 16 - 17 (01.03.2004)/17</t>
  </si>
  <si>
    <t>79,30</t>
  </si>
  <si>
    <t xml:space="preserve">RUS/Курск </t>
  </si>
  <si>
    <t>35,0</t>
  </si>
  <si>
    <t>Открытая (01.03.2004)/17</t>
  </si>
  <si>
    <t>ВЕСОВАЯ КАТЕГОРИЯ   100</t>
  </si>
  <si>
    <t>1. Плетнев Матвей</t>
  </si>
  <si>
    <t>Юниоры 20 - 23 (14.12.2000)/21</t>
  </si>
  <si>
    <t>98,80</t>
  </si>
  <si>
    <t>60,0</t>
  </si>
  <si>
    <t>1. Финохин Алексей</t>
  </si>
  <si>
    <t>Открытая (20.02.1977)/44</t>
  </si>
  <si>
    <t>94,70</t>
  </si>
  <si>
    <t>40,0</t>
  </si>
  <si>
    <t>Ветераны 40 - 44 (20.02.1977)/44</t>
  </si>
  <si>
    <t>ВЕСОВАЯ КАТЕГОРИЯ   110</t>
  </si>
  <si>
    <t>-. Федоров Никита</t>
  </si>
  <si>
    <t>Открытая (22.07.2003)/18</t>
  </si>
  <si>
    <t>103,20</t>
  </si>
  <si>
    <t xml:space="preserve">RUS/Новочеркасск </t>
  </si>
  <si>
    <t>67,5</t>
  </si>
  <si>
    <t xml:space="preserve">Юноши </t>
  </si>
  <si>
    <t>Гуров Матвей</t>
  </si>
  <si>
    <t xml:space="preserve">Юноши 18 - 19 </t>
  </si>
  <si>
    <t>75</t>
  </si>
  <si>
    <t>38,2498</t>
  </si>
  <si>
    <t>Умеренков Даниил</t>
  </si>
  <si>
    <t xml:space="preserve">Юноши 16 - 17 </t>
  </si>
  <si>
    <t>29,7788</t>
  </si>
  <si>
    <t xml:space="preserve">Юниоры </t>
  </si>
  <si>
    <t>Плетнев Матвей</t>
  </si>
  <si>
    <t xml:space="preserve">Юниоры 20 - 23 </t>
  </si>
  <si>
    <t>100</t>
  </si>
  <si>
    <t>30,6757</t>
  </si>
  <si>
    <t>Ищенко Дмитрий</t>
  </si>
  <si>
    <t>67.5</t>
  </si>
  <si>
    <t>41,7450</t>
  </si>
  <si>
    <t>Герасимов Артур</t>
  </si>
  <si>
    <t>34,4950</t>
  </si>
  <si>
    <t>Финохин Алексей</t>
  </si>
  <si>
    <t>26,8132</t>
  </si>
  <si>
    <t>Петрухин Василий</t>
  </si>
  <si>
    <t>41,1421</t>
  </si>
  <si>
    <t>27,9662</t>
  </si>
  <si>
    <t>открытый кубок Москвы WPC/AWPC/WAA-2022
AWPC тяга становая без экипировки
Москва/Москва 12 - 13 февраля 2022 г.</t>
  </si>
  <si>
    <t>Становая тяга</t>
  </si>
  <si>
    <t>ВЕСОВАЯ КАТЕГОРИЯ   52</t>
  </si>
  <si>
    <t>1. Смольянинова Надежда</t>
  </si>
  <si>
    <t>Открытая (21.10.1990)/31</t>
  </si>
  <si>
    <t>50,80</t>
  </si>
  <si>
    <t>70,0</t>
  </si>
  <si>
    <t>87,5</t>
  </si>
  <si>
    <t>100,0</t>
  </si>
  <si>
    <t>1. Костомарова Татьяна</t>
  </si>
  <si>
    <t>Ветераны 40 - 44 (09.09.1981)/40</t>
  </si>
  <si>
    <t>61,40</t>
  </si>
  <si>
    <t>110,0</t>
  </si>
  <si>
    <t>120,0</t>
  </si>
  <si>
    <t>135,0</t>
  </si>
  <si>
    <t>1. Дмитров Василий</t>
  </si>
  <si>
    <t>Открытая (19.11.1993)/28</t>
  </si>
  <si>
    <t>74,40</t>
  </si>
  <si>
    <t>192,5</t>
  </si>
  <si>
    <t>202,5</t>
  </si>
  <si>
    <t>212,5</t>
  </si>
  <si>
    <t>2. Гришин Евгений</t>
  </si>
  <si>
    <t>Открытая (22.02.1990)/31</t>
  </si>
  <si>
    <t>72,40</t>
  </si>
  <si>
    <t xml:space="preserve">RUS/Владимир </t>
  </si>
  <si>
    <t>190,0</t>
  </si>
  <si>
    <t>210,0</t>
  </si>
  <si>
    <t>3. Петухов Владислав</t>
  </si>
  <si>
    <t>Открытая (15.02.1995)/26</t>
  </si>
  <si>
    <t>73,40</t>
  </si>
  <si>
    <t>170,0</t>
  </si>
  <si>
    <t>180,0</t>
  </si>
  <si>
    <t>185,0</t>
  </si>
  <si>
    <t>1. Калачев Николай</t>
  </si>
  <si>
    <t>Юноши 16 - 17 (27.11.2004)/17</t>
  </si>
  <si>
    <t>81,60</t>
  </si>
  <si>
    <t xml:space="preserve">RUS/Королёв </t>
  </si>
  <si>
    <t>150,0</t>
  </si>
  <si>
    <t>160,0</t>
  </si>
  <si>
    <t>165,0</t>
  </si>
  <si>
    <t>1. Никитин Иван</t>
  </si>
  <si>
    <t>Открытая (09.12.1986)/35</t>
  </si>
  <si>
    <t>80,40</t>
  </si>
  <si>
    <t>195,0</t>
  </si>
  <si>
    <t>1. Кулаго Александр</t>
  </si>
  <si>
    <t>Юноши 18 - 19 (01.03.2002)/19</t>
  </si>
  <si>
    <t>94,10</t>
  </si>
  <si>
    <t>205,0</t>
  </si>
  <si>
    <t>215,0</t>
  </si>
  <si>
    <t>1. Макаренко Антон</t>
  </si>
  <si>
    <t>Открытая (03.05.1992)/29</t>
  </si>
  <si>
    <t>96,10</t>
  </si>
  <si>
    <t>220,0</t>
  </si>
  <si>
    <t>232,5</t>
  </si>
  <si>
    <t>ВЕСОВАЯ КАТЕГОРИЯ   125</t>
  </si>
  <si>
    <t>1. Бундин Дмитрий</t>
  </si>
  <si>
    <t>Открытая (01.10.1990)/31</t>
  </si>
  <si>
    <t>119,10</t>
  </si>
  <si>
    <t>230,0</t>
  </si>
  <si>
    <t xml:space="preserve">Женщины </t>
  </si>
  <si>
    <t>Смольянинова Надежда</t>
  </si>
  <si>
    <t>52</t>
  </si>
  <si>
    <t>98,7175</t>
  </si>
  <si>
    <t>Костомарова Татьяна</t>
  </si>
  <si>
    <t>130,8825</t>
  </si>
  <si>
    <t>Кулаго Александр</t>
  </si>
  <si>
    <t>128,5055</t>
  </si>
  <si>
    <t>Калачев Николай</t>
  </si>
  <si>
    <t>107,1262</t>
  </si>
  <si>
    <t>Гришин Евгений</t>
  </si>
  <si>
    <t>148,4910</t>
  </si>
  <si>
    <t>Дмитров Василий</t>
  </si>
  <si>
    <t>147,1881</t>
  </si>
  <si>
    <t>Макаренко Антон</t>
  </si>
  <si>
    <t>137,5586</t>
  </si>
  <si>
    <t>Петухов Владислав</t>
  </si>
  <si>
    <t>129,4538</t>
  </si>
  <si>
    <t>Никитин Иван</t>
  </si>
  <si>
    <t>124,5735</t>
  </si>
  <si>
    <t>Бундин Дмитрий</t>
  </si>
  <si>
    <t>125</t>
  </si>
  <si>
    <t>118,6478</t>
  </si>
  <si>
    <t>открытый кубок Москвы WPC/AWPC/WAA-2022
WPC тяга становая без экипировки
Москва/Москва 12 - 13 февраля 2022 г.</t>
  </si>
  <si>
    <t>1. Астахов Андрей</t>
  </si>
  <si>
    <t>Открытая (15.11.1996)/25</t>
  </si>
  <si>
    <t>97,20</t>
  </si>
  <si>
    <t>285,0</t>
  </si>
  <si>
    <t>295,0</t>
  </si>
  <si>
    <t>1. Цибиков Михаил</t>
  </si>
  <si>
    <t>Открытая (26.10.1992)/29</t>
  </si>
  <si>
    <t>119,00</t>
  </si>
  <si>
    <t>260,0</t>
  </si>
  <si>
    <t>270,0</t>
  </si>
  <si>
    <t>ВЕСОВАЯ КАТЕГОРИЯ   140</t>
  </si>
  <si>
    <t>1. Белов Вячеслав</t>
  </si>
  <si>
    <t>Открытая (01.02.1995)/27</t>
  </si>
  <si>
    <t>126,40</t>
  </si>
  <si>
    <t xml:space="preserve">RUS/Ивантеевка </t>
  </si>
  <si>
    <t>250,0</t>
  </si>
  <si>
    <t>255,0</t>
  </si>
  <si>
    <t>265,0</t>
  </si>
  <si>
    <t>Астахов Андрей</t>
  </si>
  <si>
    <t>173,6222</t>
  </si>
  <si>
    <t>Цибиков Михаил</t>
  </si>
  <si>
    <t>149,0400</t>
  </si>
  <si>
    <t>Белов Вячеслав</t>
  </si>
  <si>
    <t>140</t>
  </si>
  <si>
    <t>144,1547</t>
  </si>
  <si>
    <t>открытый кубок Москвы WPC/AWPC/WAA-2022
AWPC жим лежа в стандартной софт экипировке
Москва/Москва 12 - 13 февраля 2022 г.</t>
  </si>
  <si>
    <t>Жим лёжа</t>
  </si>
  <si>
    <t>1. Барышев Дмитрий</t>
  </si>
  <si>
    <t>Открытая (09.01.1997)/25</t>
  </si>
  <si>
    <t>70,10</t>
  </si>
  <si>
    <t>175,0</t>
  </si>
  <si>
    <t>200,0</t>
  </si>
  <si>
    <t>1. Амелин Владимир</t>
  </si>
  <si>
    <t>Открытая (01.06.2000)/21</t>
  </si>
  <si>
    <t>93,80</t>
  </si>
  <si>
    <t>155,0</t>
  </si>
  <si>
    <t>1. Каганский Максим</t>
  </si>
  <si>
    <t>Открытая (19.11.1980)/41</t>
  </si>
  <si>
    <t>107,80</t>
  </si>
  <si>
    <t>2. Ярков Василий</t>
  </si>
  <si>
    <t>Открытая (20.06.1970)/51</t>
  </si>
  <si>
    <t>108,80</t>
  </si>
  <si>
    <t>225,0</t>
  </si>
  <si>
    <t>Ветераны 40 - 44 (19.11.1980)/41</t>
  </si>
  <si>
    <t>1. Ярков Василий</t>
  </si>
  <si>
    <t>Ветераны 50 - 54 (20.06.1970)/51</t>
  </si>
  <si>
    <t>1. Петров Алексей</t>
  </si>
  <si>
    <t>Ветераны 45 - 49 (25.03.1975)/46</t>
  </si>
  <si>
    <t>135,30</t>
  </si>
  <si>
    <t xml:space="preserve">Динамо-32 </t>
  </si>
  <si>
    <t>Барышев Дмитрий</t>
  </si>
  <si>
    <t>141,4530</t>
  </si>
  <si>
    <t>Каганский Максим</t>
  </si>
  <si>
    <t>110</t>
  </si>
  <si>
    <t>121,6470</t>
  </si>
  <si>
    <t>Ярков Василий</t>
  </si>
  <si>
    <t>121,3137</t>
  </si>
  <si>
    <t>Амелин Владимир</t>
  </si>
  <si>
    <t>104,7725</t>
  </si>
  <si>
    <t>Петров Алексей</t>
  </si>
  <si>
    <t xml:space="preserve">Ветераны 45 - 49 </t>
  </si>
  <si>
    <t>142,9131</t>
  </si>
  <si>
    <t xml:space="preserve">Ветераны 50 - 54 </t>
  </si>
  <si>
    <t>139,1469</t>
  </si>
  <si>
    <t>122,8635</t>
  </si>
  <si>
    <t>открытый кубок Москвы WPC/AWPC/WAA-2022
AWPC жим лежа в однослойной экипировке
Москва/Москва 12 - 13 февраля 2022 г.</t>
  </si>
  <si>
    <t>-. Румынин Дмитрий</t>
  </si>
  <si>
    <t>Открытая (10.05.1974)/47</t>
  </si>
  <si>
    <t>71,60</t>
  </si>
  <si>
    <t>145,0</t>
  </si>
  <si>
    <t>открытый кубок Москвы WPC/AWPC/WAA-2022
AWPC жим стоя
Москва/Москва 12 - 13 февраля 2022 г.</t>
  </si>
  <si>
    <t>Жим стоя</t>
  </si>
  <si>
    <t>1. Когадеева Дарья</t>
  </si>
  <si>
    <t>Ветераны 40 - 44 (29.06.1978)/43</t>
  </si>
  <si>
    <t>71,00</t>
  </si>
  <si>
    <t>47,5</t>
  </si>
  <si>
    <t>Когадеева Дарья</t>
  </si>
  <si>
    <t>44,7377</t>
  </si>
  <si>
    <t>открытый кубок Москвы WPC/AWPC/WAA-2022
AWPC жим лежа без экипировки
Москва/Москва 12 - 13 февраля 2022 г.</t>
  </si>
  <si>
    <t>ВЕСОВАЯ КАТЕГОРИЯ   48</t>
  </si>
  <si>
    <t>1. Папкова Яна</t>
  </si>
  <si>
    <t>Девушки 13 - 15 (20.06.2007)/14</t>
  </si>
  <si>
    <t>47,70</t>
  </si>
  <si>
    <t xml:space="preserve">RUS/Видное </t>
  </si>
  <si>
    <t>32,5</t>
  </si>
  <si>
    <t>37,5</t>
  </si>
  <si>
    <t>1. Бажина Екатерина</t>
  </si>
  <si>
    <t>Открытая (04.04.1983)/38</t>
  </si>
  <si>
    <t>47,10</t>
  </si>
  <si>
    <t>ВЕСОВАЯ КАТЕГОРИЯ   60</t>
  </si>
  <si>
    <t>1. Афанасьева Евгения</t>
  </si>
  <si>
    <t>Ветераны 45 - 49 (11.04.1976)/45</t>
  </si>
  <si>
    <t>59,10</t>
  </si>
  <si>
    <t>1. Оксузян Алина</t>
  </si>
  <si>
    <t>Девушки 16 - 17 (19.07.2004)/17</t>
  </si>
  <si>
    <t>61,50</t>
  </si>
  <si>
    <t>1. Сенюшкин Константин</t>
  </si>
  <si>
    <t>Юноши 13 - 15 (13.07.2008)/13</t>
  </si>
  <si>
    <t>59,90</t>
  </si>
  <si>
    <t>1. Павлов Николай</t>
  </si>
  <si>
    <t>Юноши 13 - 15 (10.09.2006)/15</t>
  </si>
  <si>
    <t>77,5</t>
  </si>
  <si>
    <t>1. Голополосов Дмитрий</t>
  </si>
  <si>
    <t>Юниоры 20 - 23 (09.05.2000)/21</t>
  </si>
  <si>
    <t>73,60</t>
  </si>
  <si>
    <t>107,5</t>
  </si>
  <si>
    <t>117,5</t>
  </si>
  <si>
    <t>1. Корчак Денис</t>
  </si>
  <si>
    <t>Открытая (15.10.1993)/28</t>
  </si>
  <si>
    <t>73,20</t>
  </si>
  <si>
    <t xml:space="preserve">RUS/Люберцы </t>
  </si>
  <si>
    <t>130,0</t>
  </si>
  <si>
    <t>137,5</t>
  </si>
  <si>
    <t>2. Курятников Леонид</t>
  </si>
  <si>
    <t>Открытая (22.03.1983)/38</t>
  </si>
  <si>
    <t>75,00</t>
  </si>
  <si>
    <t>125,0</t>
  </si>
  <si>
    <t>3. Хлюстов Виктор</t>
  </si>
  <si>
    <t>Открытая (20.03.1983)/38</t>
  </si>
  <si>
    <t>73,70</t>
  </si>
  <si>
    <t xml:space="preserve">RUS/Лобня </t>
  </si>
  <si>
    <t>105,0</t>
  </si>
  <si>
    <t>4. Моисеев Сергей</t>
  </si>
  <si>
    <t>Открытая (14.05.1963)/58</t>
  </si>
  <si>
    <t>95,0</t>
  </si>
  <si>
    <t>1. Моисеев Сергей</t>
  </si>
  <si>
    <t>Ветераны 55 - 59 (14.05.1963)/58</t>
  </si>
  <si>
    <t>1. Андреев Александр</t>
  </si>
  <si>
    <t>Юниоры 20 - 23 (27.05.2000)/21</t>
  </si>
  <si>
    <t>81,50</t>
  </si>
  <si>
    <t xml:space="preserve">RUS/Мытищи </t>
  </si>
  <si>
    <t>157,5</t>
  </si>
  <si>
    <t>1. Зезин Петр</t>
  </si>
  <si>
    <t>Открытая (01.11.1989)/32</t>
  </si>
  <si>
    <t>82,20</t>
  </si>
  <si>
    <t>2. Каплунович Сергей</t>
  </si>
  <si>
    <t>Открытая (03.01.1985)/37</t>
  </si>
  <si>
    <t>80,90</t>
  </si>
  <si>
    <t xml:space="preserve">RUS/Великий Новгород </t>
  </si>
  <si>
    <t>127,5</t>
  </si>
  <si>
    <t>3. Горланов Алексей</t>
  </si>
  <si>
    <t>Открытая (15.11.1984)/37</t>
  </si>
  <si>
    <t>80,30</t>
  </si>
  <si>
    <t xml:space="preserve">RUS/Балашиха </t>
  </si>
  <si>
    <t>102,5</t>
  </si>
  <si>
    <t>-. Бочаров Евгений</t>
  </si>
  <si>
    <t>Открытая (27.11.1987)/34</t>
  </si>
  <si>
    <t>79,90</t>
  </si>
  <si>
    <t xml:space="preserve">RUS/Новосибирск </t>
  </si>
  <si>
    <t>1. Сластов Никита</t>
  </si>
  <si>
    <t>Открытая (09.11.1988)/33</t>
  </si>
  <si>
    <t>84,70</t>
  </si>
  <si>
    <t xml:space="preserve">RUS/Щёлково </t>
  </si>
  <si>
    <t>132,5</t>
  </si>
  <si>
    <t>1. Свердлов Дмитрий</t>
  </si>
  <si>
    <t>Открытая (20.04.1990)/31</t>
  </si>
  <si>
    <t>97,60</t>
  </si>
  <si>
    <t>140,0</t>
  </si>
  <si>
    <t>1. Моисеенков Сергей</t>
  </si>
  <si>
    <t>Ветераны 45 - 49 (22.06.1972)/49</t>
  </si>
  <si>
    <t>92,50</t>
  </si>
  <si>
    <t>115,0</t>
  </si>
  <si>
    <t>1. Дунин Дмитрий</t>
  </si>
  <si>
    <t>Открытая (14.08.1993)/28</t>
  </si>
  <si>
    <t>107,40</t>
  </si>
  <si>
    <t xml:space="preserve">RUS/Сергиев Посад </t>
  </si>
  <si>
    <t>167,5</t>
  </si>
  <si>
    <t>1. Клетченков Артем</t>
  </si>
  <si>
    <t>Ветераны 40 - 44 (26.05.1981)/40</t>
  </si>
  <si>
    <t>108,40</t>
  </si>
  <si>
    <t xml:space="preserve">RUS/Черноголовка </t>
  </si>
  <si>
    <t>142,5</t>
  </si>
  <si>
    <t>147,5</t>
  </si>
  <si>
    <t>1. Луг Алексей</t>
  </si>
  <si>
    <t>Ветераны 45 - 49 (17.09.1973)/48</t>
  </si>
  <si>
    <t>106,40</t>
  </si>
  <si>
    <t>1. Бычков Игорь</t>
  </si>
  <si>
    <t>Ветераны 50 - 54 (18.06.1970)/51</t>
  </si>
  <si>
    <t>103,30</t>
  </si>
  <si>
    <t>2. Киреев Дмитрий</t>
  </si>
  <si>
    <t>Ветераны 50 - 54 (25.08.1969)/52</t>
  </si>
  <si>
    <t>105,80</t>
  </si>
  <si>
    <t>1. Яковенко Владимир</t>
  </si>
  <si>
    <t>Ветераны 60 - 64 (27.03.1959)/62</t>
  </si>
  <si>
    <t>108,90</t>
  </si>
  <si>
    <t xml:space="preserve">RUS/Можайск </t>
  </si>
  <si>
    <t>1. Чубаров Владимир</t>
  </si>
  <si>
    <t>Ветераны 55 - 59 (03.04.1964)/57</t>
  </si>
  <si>
    <t>136,10</t>
  </si>
  <si>
    <t>172,5</t>
  </si>
  <si>
    <t>177,5</t>
  </si>
  <si>
    <t>182,5</t>
  </si>
  <si>
    <t xml:space="preserve">Девушки </t>
  </si>
  <si>
    <t>Оксузян Алина</t>
  </si>
  <si>
    <t>45,9942</t>
  </si>
  <si>
    <t>Папкова Яна</t>
  </si>
  <si>
    <t xml:space="preserve">Юноши 13 - 15 </t>
  </si>
  <si>
    <t>48</t>
  </si>
  <si>
    <t>44,4225</t>
  </si>
  <si>
    <t>Бажина Екатерина</t>
  </si>
  <si>
    <t>68,7757</t>
  </si>
  <si>
    <t>Афанасьева Евгения</t>
  </si>
  <si>
    <t>60</t>
  </si>
  <si>
    <t>55,3709</t>
  </si>
  <si>
    <t>Павлов Николай</t>
  </si>
  <si>
    <t>55,6489</t>
  </si>
  <si>
    <t>Сенюшкин Константин</t>
  </si>
  <si>
    <t>41,7100</t>
  </si>
  <si>
    <t>Андреев Александр</t>
  </si>
  <si>
    <t>97,4625</t>
  </si>
  <si>
    <t>Голополосов Дмитрий</t>
  </si>
  <si>
    <t>82,0503</t>
  </si>
  <si>
    <t>Корчак Денис</t>
  </si>
  <si>
    <t>94,6553</t>
  </si>
  <si>
    <t>Зезин Петр</t>
  </si>
  <si>
    <t>87,2302</t>
  </si>
  <si>
    <t>Курятников Леонид</t>
  </si>
  <si>
    <t>86,0687</t>
  </si>
  <si>
    <t>Свердлов Дмитрий</t>
  </si>
  <si>
    <t>85,1803</t>
  </si>
  <si>
    <t>Дунин Дмитрий</t>
  </si>
  <si>
    <t>84,9675</t>
  </si>
  <si>
    <t>Каплунович Сергей</t>
  </si>
  <si>
    <t>84,8770</t>
  </si>
  <si>
    <t>Хлюстов Виктор</t>
  </si>
  <si>
    <t>76,7305</t>
  </si>
  <si>
    <t>Сластов Никита</t>
  </si>
  <si>
    <t>76,0800</t>
  </si>
  <si>
    <t>Моисеев Сергей</t>
  </si>
  <si>
    <t>72,8700</t>
  </si>
  <si>
    <t>Горланов Алексей</t>
  </si>
  <si>
    <t>67,2554</t>
  </si>
  <si>
    <t>Чубаров Владимир</t>
  </si>
  <si>
    <t xml:space="preserve">Ветераны 55 - 59 </t>
  </si>
  <si>
    <t>120,3033</t>
  </si>
  <si>
    <t>Луг Алексей</t>
  </si>
  <si>
    <t>105,9450</t>
  </si>
  <si>
    <t>Киреев Дмитрий</t>
  </si>
  <si>
    <t>104,4411</t>
  </si>
  <si>
    <t>Бычков Игорь</t>
  </si>
  <si>
    <t>103,6945</t>
  </si>
  <si>
    <t>Яковенко Владимир</t>
  </si>
  <si>
    <t xml:space="preserve">Ветераны 60 - 64 </t>
  </si>
  <si>
    <t>102,1438</t>
  </si>
  <si>
    <t>94,0752</t>
  </si>
  <si>
    <t>Клетченков Артем</t>
  </si>
  <si>
    <t>80,4911</t>
  </si>
  <si>
    <t>Моисеенков Сергей</t>
  </si>
  <si>
    <t>77,1746</t>
  </si>
  <si>
    <t>открытый кубок Москвы WPC/AWPC/WAA-2022
AWPC пауэрлифтинг в однослойной экипировке
Москва/Москва 12 - 13 февраля 2022 г.</t>
  </si>
  <si>
    <t>Сумма</t>
  </si>
  <si>
    <t>открытый кубок Москвы WPC/AWPC/WAA-2022
AWPC классичесический пауэрлифтинг
Москва/Москва 12 - 13 февраля 2022 г.</t>
  </si>
  <si>
    <t>Приседание</t>
  </si>
  <si>
    <t>ВЕСОВАЯ КАТЕГОРИЯ   44</t>
  </si>
  <si>
    <t>1. Ведерникова Анастасия</t>
  </si>
  <si>
    <t>Открытая (30.11.1996)/25</t>
  </si>
  <si>
    <t>40,60</t>
  </si>
  <si>
    <t>80,0</t>
  </si>
  <si>
    <t>82,5</t>
  </si>
  <si>
    <t>85,0</t>
  </si>
  <si>
    <t>1. Юрасов Иван</t>
  </si>
  <si>
    <t>Юноши 13 - 15 (17.09.2006)/15</t>
  </si>
  <si>
    <t>76,20</t>
  </si>
  <si>
    <t>1. Молотков Сергей</t>
  </si>
  <si>
    <t>Открытая (18.06.1990)/31</t>
  </si>
  <si>
    <t>117,10</t>
  </si>
  <si>
    <t>262,5</t>
  </si>
  <si>
    <t>272,5</t>
  </si>
  <si>
    <t xml:space="preserve">Сумма </t>
  </si>
  <si>
    <t>Ведерникова Анастасия</t>
  </si>
  <si>
    <t>44</t>
  </si>
  <si>
    <t>245,0</t>
  </si>
  <si>
    <t>325,9725</t>
  </si>
  <si>
    <t>Юрасов Иван</t>
  </si>
  <si>
    <t>355,0</t>
  </si>
  <si>
    <t>241,5952</t>
  </si>
  <si>
    <t>Молотков Сергей</t>
  </si>
  <si>
    <t>695,0</t>
  </si>
  <si>
    <t>384,9953</t>
  </si>
  <si>
    <t>открытый кубок Москвы WPC/AWPC/WAA-2022
AWPC пауэрлифтинг без экипировки
Москва/Москва 12 - 13 февраля 2022 г.</t>
  </si>
  <si>
    <t>1. Бунина Елена</t>
  </si>
  <si>
    <t>Открытая (26.06.1982)/39</t>
  </si>
  <si>
    <t>47,50</t>
  </si>
  <si>
    <t>42,5</t>
  </si>
  <si>
    <t>90,0</t>
  </si>
  <si>
    <t>1. Однорогова Ирина</t>
  </si>
  <si>
    <t>Открытая (13.01.1988)/34</t>
  </si>
  <si>
    <t xml:space="preserve">RUS/Орехово-Зуево </t>
  </si>
  <si>
    <t>62,5</t>
  </si>
  <si>
    <t>1. Славнин Александр</t>
  </si>
  <si>
    <t>Открытая (12.11.1984)/37</t>
  </si>
  <si>
    <t>77,90</t>
  </si>
  <si>
    <t>1. Шульга Денис</t>
  </si>
  <si>
    <t>Ветераны 40 - 44 (23.01.1978)/44</t>
  </si>
  <si>
    <t>97,30</t>
  </si>
  <si>
    <t>1. Хасанов Степан</t>
  </si>
  <si>
    <t>Открытая (19.11.1987)/34</t>
  </si>
  <si>
    <t>107,30</t>
  </si>
  <si>
    <t xml:space="preserve">RUS/Нижний Новгород </t>
  </si>
  <si>
    <t>152,5</t>
  </si>
  <si>
    <t>180,6515</t>
  </si>
  <si>
    <t>Однорогова Ирина</t>
  </si>
  <si>
    <t>312,5</t>
  </si>
  <si>
    <t>309,0313</t>
  </si>
  <si>
    <t>Бунина Елена</t>
  </si>
  <si>
    <t>227,5</t>
  </si>
  <si>
    <t>270,3610</t>
  </si>
  <si>
    <t>Хасанов Степан</t>
  </si>
  <si>
    <t>562,5</t>
  </si>
  <si>
    <t>318,7406</t>
  </si>
  <si>
    <t>Славнин Александр</t>
  </si>
  <si>
    <t>452,5</t>
  </si>
  <si>
    <t>303,1524</t>
  </si>
  <si>
    <t>Шульга Денис</t>
  </si>
  <si>
    <t>545,0</t>
  </si>
  <si>
    <t>334,3819</t>
  </si>
  <si>
    <t>открытый кубок Москвы WPC/AWPC/WAA-2022
WPC жим лежа без экипировки
Москва/Москва 12 - 13 февраля 2022 г.</t>
  </si>
  <si>
    <t>1. Мухортова Нина</t>
  </si>
  <si>
    <t>Открытая (16.09.1966)/55</t>
  </si>
  <si>
    <t>65,60</t>
  </si>
  <si>
    <t xml:space="preserve">RUS/Ставрополь </t>
  </si>
  <si>
    <t>1. Беляков Олег</t>
  </si>
  <si>
    <t>Открытая (10.05.1995)/26</t>
  </si>
  <si>
    <t>1. Любименко Алексей</t>
  </si>
  <si>
    <t>Открытая (25.02.1991)/30</t>
  </si>
  <si>
    <t>86,70</t>
  </si>
  <si>
    <t xml:space="preserve">RUS/Домодедово </t>
  </si>
  <si>
    <t>1. Керималиев Азамат</t>
  </si>
  <si>
    <t>Ветераны 50 - 54 (12.09.1969)/52</t>
  </si>
  <si>
    <t>83,60</t>
  </si>
  <si>
    <t xml:space="preserve">KGZ/Бишкек </t>
  </si>
  <si>
    <t>1. Сидоров Евгений</t>
  </si>
  <si>
    <t>Открытая (15.07.1983)/38</t>
  </si>
  <si>
    <t>1. Шишов Алексей</t>
  </si>
  <si>
    <t>Ветераны 45 - 49 (21.03.1973)/48</t>
  </si>
  <si>
    <t>118,00</t>
  </si>
  <si>
    <t xml:space="preserve">RUS/Тула </t>
  </si>
  <si>
    <t>Мухортова Нина</t>
  </si>
  <si>
    <t>73,5960</t>
  </si>
  <si>
    <t>Любименко Алексей</t>
  </si>
  <si>
    <t>100,0160</t>
  </si>
  <si>
    <t>Сидоров Евгений</t>
  </si>
  <si>
    <t>99,3310</t>
  </si>
  <si>
    <t>Беляков Олег</t>
  </si>
  <si>
    <t>82,7880</t>
  </si>
  <si>
    <t>Шишов Алексей</t>
  </si>
  <si>
    <t>103,1290</t>
  </si>
  <si>
    <t>Керималиев Азамат</t>
  </si>
  <si>
    <t>74,4668</t>
  </si>
  <si>
    <t>открытый кубок Москвы WPC/AWPC/WAA-2022
WPC классичесический пауэрлифтинг
Москва/Москва 12 - 13 февраля 2022 г.</t>
  </si>
  <si>
    <t>1. Артюшин Евгений</t>
  </si>
  <si>
    <t>Ветераны 40 - 44 (29.01.1979)/43</t>
  </si>
  <si>
    <t>87,30</t>
  </si>
  <si>
    <t>240,0</t>
  </si>
  <si>
    <t>1. Полехин Никита</t>
  </si>
  <si>
    <t>Юноши 16 - 17 (05.06.2005)/16</t>
  </si>
  <si>
    <t>113,80</t>
  </si>
  <si>
    <t>Полехин Никита</t>
  </si>
  <si>
    <t>580,0</t>
  </si>
  <si>
    <t>323,4080</t>
  </si>
  <si>
    <t>Артюшин Евгений</t>
  </si>
  <si>
    <t>682,5</t>
  </si>
  <si>
    <t>438,0972</t>
  </si>
  <si>
    <t>открытый кубок Москвы WPC/AWPC/WAA-2022
WPC пауэрлифтинг без экипировки
Москва/Москва 12 - 13 февраля 2022 г.</t>
  </si>
  <si>
    <t>1. Соболева Полина</t>
  </si>
  <si>
    <t>Девушки 18 - 19 (24.05.2002)/19</t>
  </si>
  <si>
    <t>59,60</t>
  </si>
  <si>
    <t>1. Голованов Сергей</t>
  </si>
  <si>
    <t>Ветераны 50 - 54 (10.02.1971)/51</t>
  </si>
  <si>
    <t>82,50</t>
  </si>
  <si>
    <t xml:space="preserve">RUS/Карымское </t>
  </si>
  <si>
    <t>122,5</t>
  </si>
  <si>
    <t>197,5</t>
  </si>
  <si>
    <t>Соболева Полина</t>
  </si>
  <si>
    <t>176,2486</t>
  </si>
  <si>
    <t>600,0</t>
  </si>
  <si>
    <t>370,3800</t>
  </si>
  <si>
    <t>Голованов Сергей</t>
  </si>
  <si>
    <t>472,5</t>
  </si>
  <si>
    <t>349,3458</t>
  </si>
  <si>
    <t>Открытый кубок Москвы WPC/AWPC/WAA-2022
«Эскалибур»
Москва/Москва 12 - 13 февраля 2022 г.</t>
  </si>
  <si>
    <t>Тяга</t>
  </si>
  <si>
    <t>ВЕСОВАЯ КАТЕГОРИЯ   70</t>
  </si>
  <si>
    <t>1. Поцелуев Никита</t>
  </si>
  <si>
    <t>Открытая (29.09.1996)/25</t>
  </si>
  <si>
    <t>65,40</t>
  </si>
  <si>
    <t xml:space="preserve">RUS/Раменское </t>
  </si>
  <si>
    <t>Поцелуев Никита</t>
  </si>
  <si>
    <t>70</t>
  </si>
  <si>
    <t>65,3735</t>
  </si>
  <si>
    <t>Открытый кубок Москвы WPC/AWPC/WAA-2022
«Русская ось»
Москва/Москва 12 - 13 февраля 2022 г.</t>
  </si>
  <si>
    <t>ВЕСОВАЯ КАТЕГОРИЯ   80</t>
  </si>
  <si>
    <t>1. Климашин Илья</t>
  </si>
  <si>
    <t>Юниоры (25.07.2006)/15</t>
  </si>
  <si>
    <t>75,40</t>
  </si>
  <si>
    <t xml:space="preserve">RUS/Пенза </t>
  </si>
  <si>
    <t>1. Колосов Иван</t>
  </si>
  <si>
    <t>Открытая (21.09.1992)/29</t>
  </si>
  <si>
    <t>76,50</t>
  </si>
  <si>
    <t>1. Кирилюк Иван</t>
  </si>
  <si>
    <t>Открытая (18.12.1988)/33</t>
  </si>
  <si>
    <t>96,50</t>
  </si>
  <si>
    <t>1. Щербаков Виктор</t>
  </si>
  <si>
    <t>Мастера 60 - 64 (25.09.1959)/62</t>
  </si>
  <si>
    <t>98,40</t>
  </si>
  <si>
    <t>1. Варенов Игнатий</t>
  </si>
  <si>
    <t>Юниоры (26.09.2004)/17</t>
  </si>
  <si>
    <t>1. Кулясов Сергей</t>
  </si>
  <si>
    <t>Открытая (11.09.1982)/39</t>
  </si>
  <si>
    <t>115,80</t>
  </si>
  <si>
    <t>241,0</t>
  </si>
  <si>
    <t>Климашин Илья</t>
  </si>
  <si>
    <t>80</t>
  </si>
  <si>
    <t>89,1540</t>
  </si>
  <si>
    <t>Варенов Игнатий</t>
  </si>
  <si>
    <t>84,9975</t>
  </si>
  <si>
    <t>Кулясов Сергей</t>
  </si>
  <si>
    <t>126,3421</t>
  </si>
  <si>
    <t>Кирилюк Иван</t>
  </si>
  <si>
    <t>100,3850</t>
  </si>
  <si>
    <t>Колосов Иван</t>
  </si>
  <si>
    <t>88,2180</t>
  </si>
  <si>
    <t xml:space="preserve">Мастера </t>
  </si>
  <si>
    <t>Щербаков Виктор</t>
  </si>
  <si>
    <t xml:space="preserve">Мастера 60 - 64 </t>
  </si>
  <si>
    <t>118,2319</t>
  </si>
  <si>
    <t>Открытый кубок Москвы WPC/AWPC/WAA-2022
«Русская рулетка»
Москва/Москва 12 - 13 февраля 2022 г.</t>
  </si>
  <si>
    <t>50,5</t>
  </si>
  <si>
    <t>60,5</t>
  </si>
  <si>
    <t>65,5</t>
  </si>
  <si>
    <t>80,5</t>
  </si>
  <si>
    <t>90,5</t>
  </si>
  <si>
    <t>1. Виткевич Николай</t>
  </si>
  <si>
    <t>Открытая (27.09.1965)/56</t>
  </si>
  <si>
    <t>118,40</t>
  </si>
  <si>
    <t>53,0</t>
  </si>
  <si>
    <t>58,0</t>
  </si>
  <si>
    <t>63,0</t>
  </si>
  <si>
    <t>68,0</t>
  </si>
  <si>
    <t>Мастера 55 - 59 (27.09.1965)/56</t>
  </si>
  <si>
    <t>41,4909</t>
  </si>
  <si>
    <t>47,5352</t>
  </si>
  <si>
    <t>Виткевич Николай</t>
  </si>
  <si>
    <t>37,5768</t>
  </si>
  <si>
    <t xml:space="preserve">Мастера 55 - 59 </t>
  </si>
  <si>
    <t>46,8207</t>
  </si>
  <si>
    <t>Открытый кубок москвы WPC/AWPC/WAA-2022
AWPC Народный жим (1 вес)
Москва/Москва 12 - 13 февраля 2022 г.</t>
  </si>
  <si>
    <t>Народный жим</t>
  </si>
  <si>
    <t>Тоннаж</t>
  </si>
  <si>
    <t>Вес</t>
  </si>
  <si>
    <t>Повторы</t>
  </si>
  <si>
    <t>1. Жданов Алексей</t>
  </si>
  <si>
    <t>Открытая (01.05.1988)/33</t>
  </si>
  <si>
    <t>70,30</t>
  </si>
  <si>
    <t>36,0</t>
  </si>
  <si>
    <t>2. Усенко Виктор</t>
  </si>
  <si>
    <t>Открытая (25.10.1989)/32</t>
  </si>
  <si>
    <t>71,50</t>
  </si>
  <si>
    <t>31,0</t>
  </si>
  <si>
    <t>3. Моисеев Сергей</t>
  </si>
  <si>
    <t>22,0</t>
  </si>
  <si>
    <t>Ветераны 50 - 59 (14.05.1963)/58</t>
  </si>
  <si>
    <t>1. Орлов Дмитрий</t>
  </si>
  <si>
    <t>Открытая (25.04.1984)/37</t>
  </si>
  <si>
    <t>80,60</t>
  </si>
  <si>
    <t>1. Савицкий Роман</t>
  </si>
  <si>
    <t>Открытая (07.08.1989)/32</t>
  </si>
  <si>
    <t>86,20</t>
  </si>
  <si>
    <t>Орлов Дмитрий</t>
  </si>
  <si>
    <t>2970,0</t>
  </si>
  <si>
    <t>1943,8650</t>
  </si>
  <si>
    <t>Жданов Алексей</t>
  </si>
  <si>
    <t>2610,0</t>
  </si>
  <si>
    <t>1888,8570</t>
  </si>
  <si>
    <t>Усенко Виктор</t>
  </si>
  <si>
    <t>2247,5</t>
  </si>
  <si>
    <t>1604,8274</t>
  </si>
  <si>
    <t>Савицкий Роман</t>
  </si>
  <si>
    <t>1925,0</t>
  </si>
  <si>
    <t>1207,4563</t>
  </si>
  <si>
    <t>1650,0</t>
  </si>
  <si>
    <t>1145,1000</t>
  </si>
  <si>
    <t xml:space="preserve">Ветераны 50 - 59 </t>
  </si>
  <si>
    <t>1478,3241</t>
  </si>
  <si>
    <t>Открытый кубок москвы WPC/AWPC/WAA-2022
WPC Народный жим (1 вес)
Москва/Москва 12 - 13 февраля 2022 г.</t>
  </si>
  <si>
    <t>1. Сперанская Анастасия</t>
  </si>
  <si>
    <t>Открытая (22.12.2015)/6</t>
  </si>
  <si>
    <t>22,50</t>
  </si>
  <si>
    <t>22,5</t>
  </si>
  <si>
    <t>21,0</t>
  </si>
  <si>
    <t>1. Хан Дмитрий</t>
  </si>
  <si>
    <t>Открытая (18.04.1982)/39</t>
  </si>
  <si>
    <t>97,00</t>
  </si>
  <si>
    <t xml:space="preserve">RUS/Волгодонск </t>
  </si>
  <si>
    <t>97,5</t>
  </si>
  <si>
    <t>Сперанская Анастасия</t>
  </si>
  <si>
    <t>634,8983</t>
  </si>
  <si>
    <t>Хан Дмитрий</t>
  </si>
  <si>
    <t>3900,0</t>
  </si>
  <si>
    <t>2297,4900</t>
  </si>
  <si>
    <t>1575,0</t>
  </si>
  <si>
    <t>1086,5925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</si>
</sst>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6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0" fillId="2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2" borderId="1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21" fillId="2" borderId="17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1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13</v>
      </c>
      <c r="B6" s="17" t="s">
        <v>14</v>
      </c>
      <c r="C6" s="17" t="s">
        <v>15</v>
      </c>
      <c r="D6" s="17" t="str">
        <f>"0,6535"</f>
        <v>0,6535</v>
      </c>
      <c r="E6" s="17" t="s">
        <v>16</v>
      </c>
      <c r="F6" s="17" t="s">
        <v>17</v>
      </c>
      <c r="G6" s="18" t="s">
        <v>18</v>
      </c>
      <c r="H6" s="18" t="s">
        <v>19</v>
      </c>
      <c r="I6" s="18" t="s">
        <v>20</v>
      </c>
      <c r="J6" s="46"/>
      <c r="K6" s="32" t="str">
        <f>"75,0"</f>
        <v>75,0</v>
      </c>
      <c r="L6" s="33" t="str">
        <f>"49,9889"</f>
        <v>49,9889</v>
      </c>
      <c r="M6" s="17" t="s">
        <v>21</v>
      </c>
    </row>
    <row r="8" ht="15.75" spans="1:10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23</v>
      </c>
      <c r="B9" s="17" t="s">
        <v>24</v>
      </c>
      <c r="C9" s="17" t="s">
        <v>25</v>
      </c>
      <c r="D9" s="17" t="str">
        <f>"0,6173"</f>
        <v>0,6173</v>
      </c>
      <c r="E9" s="17" t="s">
        <v>26</v>
      </c>
      <c r="F9" s="17" t="s">
        <v>27</v>
      </c>
      <c r="G9" s="46" t="s">
        <v>28</v>
      </c>
      <c r="H9" s="18" t="s">
        <v>28</v>
      </c>
      <c r="I9" s="18" t="s">
        <v>18</v>
      </c>
      <c r="J9" s="46"/>
      <c r="K9" s="32" t="str">
        <f>"65,0"</f>
        <v>65,0</v>
      </c>
      <c r="L9" s="33" t="str">
        <f>"40,1245"</f>
        <v>40,1245</v>
      </c>
      <c r="M9" s="17" t="s">
        <v>21</v>
      </c>
    </row>
    <row r="11" ht="15.75" spans="5:5">
      <c r="E11" s="21" t="s">
        <v>29</v>
      </c>
    </row>
    <row r="12" ht="15.75" spans="5:5">
      <c r="E12" s="21" t="s">
        <v>30</v>
      </c>
    </row>
    <row r="13" ht="15.75" spans="5:5">
      <c r="E13" s="21" t="s">
        <v>31</v>
      </c>
    </row>
    <row r="14" ht="15.75" spans="5:5">
      <c r="E14" s="21" t="s">
        <v>32</v>
      </c>
    </row>
    <row r="15" ht="15.75" spans="5:5">
      <c r="E15" s="21" t="s">
        <v>32</v>
      </c>
    </row>
    <row r="16" ht="15.75" spans="5:5">
      <c r="E16" s="21" t="s">
        <v>33</v>
      </c>
    </row>
    <row r="17" ht="15.75" spans="5:5">
      <c r="E17" s="21"/>
    </row>
    <row r="19" ht="18.75" spans="1:2">
      <c r="A19" s="22" t="s">
        <v>34</v>
      </c>
      <c r="B19" s="22"/>
    </row>
    <row r="20" ht="15.75" spans="1:2">
      <c r="A20" s="23" t="s">
        <v>35</v>
      </c>
      <c r="B20" s="23"/>
    </row>
    <row r="21" ht="15" spans="1:2">
      <c r="A21" s="24"/>
      <c r="B21" s="25" t="s">
        <v>36</v>
      </c>
    </row>
    <row r="22" ht="14.25" spans="1:5">
      <c r="A22" s="26" t="s">
        <v>37</v>
      </c>
      <c r="B22" s="26" t="s">
        <v>38</v>
      </c>
      <c r="C22" s="26" t="s">
        <v>39</v>
      </c>
      <c r="D22" s="26" t="s">
        <v>40</v>
      </c>
      <c r="E22" s="26" t="s">
        <v>41</v>
      </c>
    </row>
    <row r="23" spans="1:5">
      <c r="A23" s="27" t="s">
        <v>42</v>
      </c>
      <c r="B23" s="3" t="s">
        <v>36</v>
      </c>
      <c r="C23" s="3" t="s">
        <v>43</v>
      </c>
      <c r="D23" s="3" t="s">
        <v>18</v>
      </c>
      <c r="E23" s="5" t="s">
        <v>44</v>
      </c>
    </row>
    <row r="25" ht="15" spans="1:2">
      <c r="A25" s="24"/>
      <c r="B25" s="25" t="s">
        <v>45</v>
      </c>
    </row>
    <row r="26" ht="14.25" spans="1:5">
      <c r="A26" s="26" t="s">
        <v>37</v>
      </c>
      <c r="B26" s="26" t="s">
        <v>38</v>
      </c>
      <c r="C26" s="26" t="s">
        <v>39</v>
      </c>
      <c r="D26" s="26" t="s">
        <v>40</v>
      </c>
      <c r="E26" s="26" t="s">
        <v>41</v>
      </c>
    </row>
    <row r="27" spans="1:5">
      <c r="A27" s="27" t="s">
        <v>46</v>
      </c>
      <c r="B27" s="3" t="s">
        <v>47</v>
      </c>
      <c r="C27" s="3" t="s">
        <v>48</v>
      </c>
      <c r="D27" s="3" t="s">
        <v>20</v>
      </c>
      <c r="E27" s="5" t="s">
        <v>49</v>
      </c>
    </row>
  </sheetData>
  <mergeCells count="13">
    <mergeCell ref="G3:J3"/>
    <mergeCell ref="A5:J5"/>
    <mergeCell ref="A8:J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7.6666666666667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14.7777777777778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450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8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451</v>
      </c>
      <c r="H3" s="12"/>
      <c r="I3" s="12"/>
      <c r="J3" s="12"/>
      <c r="K3" s="12" t="s">
        <v>225</v>
      </c>
      <c r="L3" s="12"/>
      <c r="M3" s="12"/>
      <c r="N3" s="12"/>
      <c r="O3" s="12" t="s">
        <v>117</v>
      </c>
      <c r="P3" s="12"/>
      <c r="Q3" s="12"/>
      <c r="R3" s="12"/>
      <c r="S3" s="12" t="s">
        <v>449</v>
      </c>
      <c r="T3" s="12" t="s">
        <v>9</v>
      </c>
      <c r="U3" s="30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1"/>
    </row>
    <row r="5" ht="15.75" spans="1:18">
      <c r="A5" s="15" t="s">
        <v>452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453</v>
      </c>
      <c r="B6" s="17" t="s">
        <v>454</v>
      </c>
      <c r="C6" s="17" t="s">
        <v>455</v>
      </c>
      <c r="D6" s="17" t="str">
        <f>"1,3305"</f>
        <v>1,3305</v>
      </c>
      <c r="E6" s="17" t="s">
        <v>16</v>
      </c>
      <c r="F6" s="17" t="s">
        <v>55</v>
      </c>
      <c r="G6" s="18" t="s">
        <v>456</v>
      </c>
      <c r="H6" s="18" t="s">
        <v>457</v>
      </c>
      <c r="I6" s="46" t="s">
        <v>458</v>
      </c>
      <c r="J6" s="46"/>
      <c r="K6" s="18" t="s">
        <v>62</v>
      </c>
      <c r="L6" s="18" t="s">
        <v>274</v>
      </c>
      <c r="M6" s="46" t="s">
        <v>56</v>
      </c>
      <c r="N6" s="46"/>
      <c r="O6" s="18" t="s">
        <v>320</v>
      </c>
      <c r="P6" s="18" t="s">
        <v>128</v>
      </c>
      <c r="Q6" s="18" t="s">
        <v>360</v>
      </c>
      <c r="R6" s="46"/>
      <c r="S6" s="32" t="str">
        <f>"245,0"</f>
        <v>245,0</v>
      </c>
      <c r="T6" s="33" t="str">
        <f>"325,9725"</f>
        <v>325,9725</v>
      </c>
      <c r="U6" s="17" t="s">
        <v>21</v>
      </c>
    </row>
    <row r="8" ht="15.75" spans="1:18">
      <c r="A8" s="19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1">
      <c r="A9" s="17" t="s">
        <v>459</v>
      </c>
      <c r="B9" s="17" t="s">
        <v>460</v>
      </c>
      <c r="C9" s="17" t="s">
        <v>461</v>
      </c>
      <c r="D9" s="17" t="str">
        <f>"0,6805"</f>
        <v>0,6805</v>
      </c>
      <c r="E9" s="17" t="s">
        <v>26</v>
      </c>
      <c r="F9" s="17" t="s">
        <v>27</v>
      </c>
      <c r="G9" s="46" t="s">
        <v>315</v>
      </c>
      <c r="H9" s="46" t="s">
        <v>315</v>
      </c>
      <c r="I9" s="18" t="s">
        <v>315</v>
      </c>
      <c r="J9" s="46"/>
      <c r="K9" s="18" t="s">
        <v>18</v>
      </c>
      <c r="L9" s="18" t="s">
        <v>20</v>
      </c>
      <c r="M9" s="18" t="s">
        <v>456</v>
      </c>
      <c r="N9" s="46"/>
      <c r="O9" s="18" t="s">
        <v>315</v>
      </c>
      <c r="P9" s="18" t="s">
        <v>130</v>
      </c>
      <c r="Q9" s="18" t="s">
        <v>153</v>
      </c>
      <c r="R9" s="46"/>
      <c r="S9" s="32" t="str">
        <f>"355,0"</f>
        <v>355,0</v>
      </c>
      <c r="T9" s="33" t="str">
        <f>"241,5952"</f>
        <v>241,5952</v>
      </c>
      <c r="U9" s="17" t="s">
        <v>21</v>
      </c>
    </row>
    <row r="11" ht="15.75" spans="1:18">
      <c r="A11" s="19" t="s">
        <v>170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1">
      <c r="A12" s="17" t="s">
        <v>462</v>
      </c>
      <c r="B12" s="17" t="s">
        <v>463</v>
      </c>
      <c r="C12" s="17" t="s">
        <v>464</v>
      </c>
      <c r="D12" s="17" t="str">
        <f>"0,5540"</f>
        <v>0,5540</v>
      </c>
      <c r="E12" s="17" t="s">
        <v>16</v>
      </c>
      <c r="F12" s="17" t="s">
        <v>55</v>
      </c>
      <c r="G12" s="46" t="s">
        <v>207</v>
      </c>
      <c r="H12" s="46" t="s">
        <v>465</v>
      </c>
      <c r="I12" s="18" t="s">
        <v>465</v>
      </c>
      <c r="J12" s="46"/>
      <c r="K12" s="46" t="s">
        <v>146</v>
      </c>
      <c r="L12" s="18" t="s">
        <v>388</v>
      </c>
      <c r="M12" s="46" t="s">
        <v>229</v>
      </c>
      <c r="N12" s="46"/>
      <c r="O12" s="18" t="s">
        <v>207</v>
      </c>
      <c r="P12" s="46" t="s">
        <v>208</v>
      </c>
      <c r="Q12" s="46" t="s">
        <v>466</v>
      </c>
      <c r="R12" s="46"/>
      <c r="S12" s="32" t="str">
        <f>"695,0"</f>
        <v>695,0</v>
      </c>
      <c r="T12" s="33" t="str">
        <f>"384,9953"</f>
        <v>384,9953</v>
      </c>
      <c r="U12" s="17" t="s">
        <v>21</v>
      </c>
    </row>
    <row r="14" ht="15.75" spans="5:5">
      <c r="E14" s="21" t="s">
        <v>29</v>
      </c>
    </row>
    <row r="15" ht="15.75" spans="5:5">
      <c r="E15" s="21" t="s">
        <v>30</v>
      </c>
    </row>
    <row r="16" ht="15.75" spans="5:5">
      <c r="E16" s="21" t="s">
        <v>31</v>
      </c>
    </row>
    <row r="17" ht="15.75" spans="5:5">
      <c r="E17" s="21" t="s">
        <v>32</v>
      </c>
    </row>
    <row r="18" ht="15.75" spans="5:5">
      <c r="E18" s="21" t="s">
        <v>32</v>
      </c>
    </row>
    <row r="19" ht="15.75" spans="5:5">
      <c r="E19" s="21" t="s">
        <v>33</v>
      </c>
    </row>
    <row r="20" ht="15.75" spans="5:5">
      <c r="E20" s="21"/>
    </row>
    <row r="22" ht="18.75" spans="1:2">
      <c r="A22" s="22" t="s">
        <v>34</v>
      </c>
      <c r="B22" s="22"/>
    </row>
    <row r="23" ht="15.75" spans="1:2">
      <c r="A23" s="23" t="s">
        <v>175</v>
      </c>
      <c r="B23" s="23"/>
    </row>
    <row r="24" ht="15" spans="1:2">
      <c r="A24" s="24"/>
      <c r="B24" s="25" t="s">
        <v>36</v>
      </c>
    </row>
    <row r="25" ht="14.25" spans="1:5">
      <c r="A25" s="26" t="s">
        <v>37</v>
      </c>
      <c r="B25" s="26" t="s">
        <v>38</v>
      </c>
      <c r="C25" s="26" t="s">
        <v>39</v>
      </c>
      <c r="D25" s="26" t="s">
        <v>467</v>
      </c>
      <c r="E25" s="26" t="s">
        <v>41</v>
      </c>
    </row>
    <row r="26" spans="1:5">
      <c r="A26" s="27" t="s">
        <v>468</v>
      </c>
      <c r="B26" s="3" t="s">
        <v>36</v>
      </c>
      <c r="C26" s="3" t="s">
        <v>469</v>
      </c>
      <c r="D26" s="3" t="s">
        <v>470</v>
      </c>
      <c r="E26" s="5" t="s">
        <v>471</v>
      </c>
    </row>
    <row r="29" ht="15.75" spans="1:2">
      <c r="A29" s="23" t="s">
        <v>35</v>
      </c>
      <c r="B29" s="23"/>
    </row>
    <row r="30" ht="15" spans="1:2">
      <c r="A30" s="24"/>
      <c r="B30" s="25" t="s">
        <v>93</v>
      </c>
    </row>
    <row r="31" ht="14.25" spans="1:5">
      <c r="A31" s="26" t="s">
        <v>37</v>
      </c>
      <c r="B31" s="26" t="s">
        <v>38</v>
      </c>
      <c r="C31" s="26" t="s">
        <v>39</v>
      </c>
      <c r="D31" s="26" t="s">
        <v>467</v>
      </c>
      <c r="E31" s="26" t="s">
        <v>41</v>
      </c>
    </row>
    <row r="32" spans="1:5">
      <c r="A32" s="27" t="s">
        <v>472</v>
      </c>
      <c r="B32" s="3" t="s">
        <v>395</v>
      </c>
      <c r="C32" s="3" t="s">
        <v>48</v>
      </c>
      <c r="D32" s="3" t="s">
        <v>473</v>
      </c>
      <c r="E32" s="5" t="s">
        <v>474</v>
      </c>
    </row>
    <row r="34" ht="15" spans="1:2">
      <c r="A34" s="24"/>
      <c r="B34" s="25" t="s">
        <v>36</v>
      </c>
    </row>
    <row r="35" ht="14.25" spans="1:5">
      <c r="A35" s="26" t="s">
        <v>37</v>
      </c>
      <c r="B35" s="26" t="s">
        <v>38</v>
      </c>
      <c r="C35" s="26" t="s">
        <v>39</v>
      </c>
      <c r="D35" s="26" t="s">
        <v>467</v>
      </c>
      <c r="E35" s="26" t="s">
        <v>41</v>
      </c>
    </row>
    <row r="36" spans="1:5">
      <c r="A36" s="27" t="s">
        <v>475</v>
      </c>
      <c r="B36" s="3" t="s">
        <v>36</v>
      </c>
      <c r="C36" s="3" t="s">
        <v>196</v>
      </c>
      <c r="D36" s="3" t="s">
        <v>476</v>
      </c>
      <c r="E36" s="5" t="s">
        <v>477</v>
      </c>
    </row>
  </sheetData>
  <mergeCells count="16">
    <mergeCell ref="G3:J3"/>
    <mergeCell ref="K3:N3"/>
    <mergeCell ref="O3:R3"/>
    <mergeCell ref="A5:R5"/>
    <mergeCell ref="A8:R8"/>
    <mergeCell ref="A11:R1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21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478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8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451</v>
      </c>
      <c r="H3" s="12"/>
      <c r="I3" s="12"/>
      <c r="J3" s="12"/>
      <c r="K3" s="12" t="s">
        <v>225</v>
      </c>
      <c r="L3" s="12"/>
      <c r="M3" s="12"/>
      <c r="N3" s="12"/>
      <c r="O3" s="12" t="s">
        <v>117</v>
      </c>
      <c r="P3" s="12"/>
      <c r="Q3" s="12"/>
      <c r="R3" s="12"/>
      <c r="S3" s="12" t="s">
        <v>449</v>
      </c>
      <c r="T3" s="12" t="s">
        <v>9</v>
      </c>
      <c r="U3" s="30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1"/>
    </row>
    <row r="5" ht="15.75" spans="1:18">
      <c r="A5" s="15" t="s">
        <v>278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34" t="s">
        <v>279</v>
      </c>
      <c r="B6" s="34" t="s">
        <v>280</v>
      </c>
      <c r="C6" s="34" t="s">
        <v>281</v>
      </c>
      <c r="D6" s="34" t="str">
        <f>"1,1846"</f>
        <v>1,1846</v>
      </c>
      <c r="E6" s="34" t="s">
        <v>16</v>
      </c>
      <c r="F6" s="34" t="s">
        <v>282</v>
      </c>
      <c r="G6" s="35" t="s">
        <v>56</v>
      </c>
      <c r="H6" s="35" t="s">
        <v>57</v>
      </c>
      <c r="I6" s="35" t="s">
        <v>28</v>
      </c>
      <c r="J6" s="47"/>
      <c r="K6" s="47" t="s">
        <v>283</v>
      </c>
      <c r="L6" s="35" t="s">
        <v>75</v>
      </c>
      <c r="M6" s="35" t="s">
        <v>284</v>
      </c>
      <c r="N6" s="47"/>
      <c r="O6" s="35" t="s">
        <v>56</v>
      </c>
      <c r="P6" s="35" t="s">
        <v>28</v>
      </c>
      <c r="Q6" s="35" t="s">
        <v>81</v>
      </c>
      <c r="R6" s="47"/>
      <c r="S6" s="40" t="str">
        <f>"152,5"</f>
        <v>152,5</v>
      </c>
      <c r="T6" s="41" t="str">
        <f>"180,6515"</f>
        <v>180,6515</v>
      </c>
      <c r="U6" s="34" t="s">
        <v>21</v>
      </c>
    </row>
    <row r="7" spans="1:21">
      <c r="A7" s="38" t="s">
        <v>479</v>
      </c>
      <c r="B7" s="38" t="s">
        <v>480</v>
      </c>
      <c r="C7" s="38" t="s">
        <v>481</v>
      </c>
      <c r="D7" s="38" t="str">
        <f>"1,1884"</f>
        <v>1,1884</v>
      </c>
      <c r="E7" s="38" t="s">
        <v>16</v>
      </c>
      <c r="F7" s="38" t="s">
        <v>55</v>
      </c>
      <c r="G7" s="39" t="s">
        <v>20</v>
      </c>
      <c r="H7" s="48" t="s">
        <v>456</v>
      </c>
      <c r="I7" s="39" t="s">
        <v>456</v>
      </c>
      <c r="J7" s="48"/>
      <c r="K7" s="39" t="s">
        <v>482</v>
      </c>
      <c r="L7" s="39" t="s">
        <v>274</v>
      </c>
      <c r="M7" s="48" t="s">
        <v>56</v>
      </c>
      <c r="N7" s="48"/>
      <c r="O7" s="39" t="s">
        <v>483</v>
      </c>
      <c r="P7" s="48" t="s">
        <v>124</v>
      </c>
      <c r="Q7" s="39" t="s">
        <v>124</v>
      </c>
      <c r="R7" s="48"/>
      <c r="S7" s="44" t="str">
        <f>"227,5"</f>
        <v>227,5</v>
      </c>
      <c r="T7" s="45" t="str">
        <f>"270,3610"</f>
        <v>270,3610</v>
      </c>
      <c r="U7" s="38" t="s">
        <v>21</v>
      </c>
    </row>
    <row r="9" ht="15.75" spans="1:18">
      <c r="A9" s="19" t="s">
        <v>288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1">
      <c r="A10" s="17" t="s">
        <v>484</v>
      </c>
      <c r="B10" s="17" t="s">
        <v>485</v>
      </c>
      <c r="C10" s="17" t="s">
        <v>297</v>
      </c>
      <c r="D10" s="17" t="str">
        <f>"0,9889"</f>
        <v>0,9889</v>
      </c>
      <c r="E10" s="17" t="s">
        <v>16</v>
      </c>
      <c r="F10" s="17" t="s">
        <v>486</v>
      </c>
      <c r="G10" s="18" t="s">
        <v>124</v>
      </c>
      <c r="H10" s="18" t="s">
        <v>320</v>
      </c>
      <c r="I10" s="18" t="s">
        <v>128</v>
      </c>
      <c r="J10" s="46"/>
      <c r="K10" s="18" t="s">
        <v>56</v>
      </c>
      <c r="L10" s="18" t="s">
        <v>70</v>
      </c>
      <c r="M10" s="18" t="s">
        <v>487</v>
      </c>
      <c r="N10" s="46"/>
      <c r="O10" s="18" t="s">
        <v>130</v>
      </c>
      <c r="P10" s="18" t="s">
        <v>356</v>
      </c>
      <c r="Q10" s="46" t="s">
        <v>268</v>
      </c>
      <c r="R10" s="46"/>
      <c r="S10" s="32" t="str">
        <f>"312,5"</f>
        <v>312,5</v>
      </c>
      <c r="T10" s="33" t="str">
        <f>"309,0313"</f>
        <v>309,0313</v>
      </c>
      <c r="U10" s="17" t="s">
        <v>21</v>
      </c>
    </row>
    <row r="12" ht="15.75" spans="1:18">
      <c r="A12" s="19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21">
      <c r="A13" s="17" t="s">
        <v>488</v>
      </c>
      <c r="B13" s="17" t="s">
        <v>489</v>
      </c>
      <c r="C13" s="17" t="s">
        <v>490</v>
      </c>
      <c r="D13" s="17" t="str">
        <f>"0,6700"</f>
        <v>0,6700</v>
      </c>
      <c r="E13" s="17" t="s">
        <v>16</v>
      </c>
      <c r="F13" s="17" t="s">
        <v>55</v>
      </c>
      <c r="G13" s="18" t="s">
        <v>234</v>
      </c>
      <c r="H13" s="18" t="s">
        <v>155</v>
      </c>
      <c r="I13" s="46" t="s">
        <v>388</v>
      </c>
      <c r="J13" s="46"/>
      <c r="K13" s="18" t="s">
        <v>320</v>
      </c>
      <c r="L13" s="18" t="s">
        <v>128</v>
      </c>
      <c r="M13" s="18" t="s">
        <v>305</v>
      </c>
      <c r="N13" s="46"/>
      <c r="O13" s="46" t="s">
        <v>154</v>
      </c>
      <c r="P13" s="46" t="s">
        <v>154</v>
      </c>
      <c r="Q13" s="18" t="s">
        <v>146</v>
      </c>
      <c r="R13" s="46"/>
      <c r="S13" s="32" t="str">
        <f>"452,5"</f>
        <v>452,5</v>
      </c>
      <c r="T13" s="33" t="str">
        <f>"303,1524"</f>
        <v>303,1524</v>
      </c>
      <c r="U13" s="17" t="s">
        <v>21</v>
      </c>
    </row>
    <row r="15" ht="15.75" spans="1:18">
      <c r="A15" s="19" t="s">
        <v>77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21">
      <c r="A16" s="17" t="s">
        <v>491</v>
      </c>
      <c r="B16" s="17" t="s">
        <v>492</v>
      </c>
      <c r="C16" s="17" t="s">
        <v>493</v>
      </c>
      <c r="D16" s="17" t="str">
        <f>"0,5882"</f>
        <v>0,5882</v>
      </c>
      <c r="E16" s="17" t="s">
        <v>16</v>
      </c>
      <c r="F16" s="17" t="s">
        <v>55</v>
      </c>
      <c r="G16" s="18" t="s">
        <v>229</v>
      </c>
      <c r="H16" s="18" t="s">
        <v>148</v>
      </c>
      <c r="I16" s="18" t="s">
        <v>141</v>
      </c>
      <c r="J16" s="46"/>
      <c r="K16" s="18" t="s">
        <v>129</v>
      </c>
      <c r="L16" s="18" t="s">
        <v>310</v>
      </c>
      <c r="M16" s="18" t="s">
        <v>130</v>
      </c>
      <c r="N16" s="46"/>
      <c r="O16" s="18" t="s">
        <v>142</v>
      </c>
      <c r="P16" s="18" t="s">
        <v>168</v>
      </c>
      <c r="Q16" s="46" t="s">
        <v>174</v>
      </c>
      <c r="R16" s="46"/>
      <c r="S16" s="32" t="str">
        <f>"545,0"</f>
        <v>545,0</v>
      </c>
      <c r="T16" s="33" t="str">
        <f>"334,3819"</f>
        <v>334,3819</v>
      </c>
      <c r="U16" s="17" t="s">
        <v>21</v>
      </c>
    </row>
    <row r="18" ht="15.75" spans="1:18">
      <c r="A18" s="19" t="s">
        <v>87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21">
      <c r="A19" s="17" t="s">
        <v>494</v>
      </c>
      <c r="B19" s="17" t="s">
        <v>495</v>
      </c>
      <c r="C19" s="17" t="s">
        <v>496</v>
      </c>
      <c r="D19" s="17" t="str">
        <f>"0,5666"</f>
        <v>0,5666</v>
      </c>
      <c r="E19" s="17" t="s">
        <v>16</v>
      </c>
      <c r="F19" s="17" t="s">
        <v>497</v>
      </c>
      <c r="G19" s="18" t="s">
        <v>147</v>
      </c>
      <c r="H19" s="46" t="s">
        <v>141</v>
      </c>
      <c r="I19" s="46" t="s">
        <v>141</v>
      </c>
      <c r="J19" s="46"/>
      <c r="K19" s="18" t="s">
        <v>130</v>
      </c>
      <c r="L19" s="18" t="s">
        <v>370</v>
      </c>
      <c r="M19" s="18" t="s">
        <v>498</v>
      </c>
      <c r="N19" s="46"/>
      <c r="O19" s="18" t="s">
        <v>163</v>
      </c>
      <c r="P19" s="18" t="s">
        <v>168</v>
      </c>
      <c r="Q19" s="18" t="s">
        <v>174</v>
      </c>
      <c r="R19" s="46"/>
      <c r="S19" s="32" t="str">
        <f>"562,5"</f>
        <v>562,5</v>
      </c>
      <c r="T19" s="33" t="str">
        <f>"318,7406"</f>
        <v>318,7406</v>
      </c>
      <c r="U19" s="17" t="s">
        <v>21</v>
      </c>
    </row>
    <row r="21" ht="15.75" spans="5:5">
      <c r="E21" s="21" t="s">
        <v>29</v>
      </c>
    </row>
    <row r="22" ht="15.75" spans="5:5">
      <c r="E22" s="21" t="s">
        <v>30</v>
      </c>
    </row>
    <row r="23" ht="15.75" spans="5:5">
      <c r="E23" s="21" t="s">
        <v>31</v>
      </c>
    </row>
    <row r="24" ht="15.75" spans="5:5">
      <c r="E24" s="21" t="s">
        <v>32</v>
      </c>
    </row>
    <row r="25" ht="15.75" spans="5:5">
      <c r="E25" s="21" t="s">
        <v>32</v>
      </c>
    </row>
    <row r="26" ht="15.75" spans="5:5">
      <c r="E26" s="21" t="s">
        <v>33</v>
      </c>
    </row>
    <row r="27" ht="15.75" spans="5:5">
      <c r="E27" s="21"/>
    </row>
    <row r="29" ht="18.75" spans="1:2">
      <c r="A29" s="22" t="s">
        <v>34</v>
      </c>
      <c r="B29" s="22"/>
    </row>
    <row r="30" ht="15.75" spans="1:2">
      <c r="A30" s="23" t="s">
        <v>175</v>
      </c>
      <c r="B30" s="23"/>
    </row>
    <row r="31" ht="15" spans="1:2">
      <c r="A31" s="24"/>
      <c r="B31" s="25" t="s">
        <v>391</v>
      </c>
    </row>
    <row r="32" ht="14.25" spans="1:5">
      <c r="A32" s="26" t="s">
        <v>37</v>
      </c>
      <c r="B32" s="26" t="s">
        <v>38</v>
      </c>
      <c r="C32" s="26" t="s">
        <v>39</v>
      </c>
      <c r="D32" s="26" t="s">
        <v>467</v>
      </c>
      <c r="E32" s="26" t="s">
        <v>41</v>
      </c>
    </row>
    <row r="33" spans="1:5">
      <c r="A33" s="27" t="s">
        <v>394</v>
      </c>
      <c r="B33" s="3" t="s">
        <v>395</v>
      </c>
      <c r="C33" s="3" t="s">
        <v>396</v>
      </c>
      <c r="D33" s="3" t="s">
        <v>498</v>
      </c>
      <c r="E33" s="5" t="s">
        <v>499</v>
      </c>
    </row>
    <row r="35" ht="15" spans="1:2">
      <c r="A35" s="24"/>
      <c r="B35" s="25" t="s">
        <v>36</v>
      </c>
    </row>
    <row r="36" ht="14.25" spans="1:5">
      <c r="A36" s="26" t="s">
        <v>37</v>
      </c>
      <c r="B36" s="26" t="s">
        <v>38</v>
      </c>
      <c r="C36" s="26" t="s">
        <v>39</v>
      </c>
      <c r="D36" s="26" t="s">
        <v>467</v>
      </c>
      <c r="E36" s="26" t="s">
        <v>41</v>
      </c>
    </row>
    <row r="37" spans="1:5">
      <c r="A37" s="27" t="s">
        <v>500</v>
      </c>
      <c r="B37" s="3" t="s">
        <v>36</v>
      </c>
      <c r="C37" s="3" t="s">
        <v>401</v>
      </c>
      <c r="D37" s="3" t="s">
        <v>501</v>
      </c>
      <c r="E37" s="5" t="s">
        <v>502</v>
      </c>
    </row>
    <row r="38" spans="1:5">
      <c r="A38" s="27" t="s">
        <v>503</v>
      </c>
      <c r="B38" s="3" t="s">
        <v>36</v>
      </c>
      <c r="C38" s="3" t="s">
        <v>396</v>
      </c>
      <c r="D38" s="3" t="s">
        <v>504</v>
      </c>
      <c r="E38" s="5" t="s">
        <v>505</v>
      </c>
    </row>
    <row r="41" ht="15.75" spans="1:2">
      <c r="A41" s="23" t="s">
        <v>35</v>
      </c>
      <c r="B41" s="23"/>
    </row>
    <row r="42" ht="15" spans="1:2">
      <c r="A42" s="24"/>
      <c r="B42" s="25" t="s">
        <v>36</v>
      </c>
    </row>
    <row r="43" ht="14.25" spans="1:5">
      <c r="A43" s="26" t="s">
        <v>37</v>
      </c>
      <c r="B43" s="26" t="s">
        <v>38</v>
      </c>
      <c r="C43" s="26" t="s">
        <v>39</v>
      </c>
      <c r="D43" s="26" t="s">
        <v>467</v>
      </c>
      <c r="E43" s="26" t="s">
        <v>41</v>
      </c>
    </row>
    <row r="44" spans="1:5">
      <c r="A44" s="27" t="s">
        <v>506</v>
      </c>
      <c r="B44" s="3" t="s">
        <v>36</v>
      </c>
      <c r="C44" s="3" t="s">
        <v>252</v>
      </c>
      <c r="D44" s="3" t="s">
        <v>507</v>
      </c>
      <c r="E44" s="5" t="s">
        <v>508</v>
      </c>
    </row>
    <row r="45" spans="1:5">
      <c r="A45" s="27" t="s">
        <v>509</v>
      </c>
      <c r="B45" s="3" t="s">
        <v>36</v>
      </c>
      <c r="C45" s="3" t="s">
        <v>48</v>
      </c>
      <c r="D45" s="3" t="s">
        <v>510</v>
      </c>
      <c r="E45" s="5" t="s">
        <v>511</v>
      </c>
    </row>
    <row r="47" ht="15" spans="1:2">
      <c r="A47" s="24"/>
      <c r="B47" s="25" t="s">
        <v>45</v>
      </c>
    </row>
    <row r="48" ht="14.25" spans="1:5">
      <c r="A48" s="26" t="s">
        <v>37</v>
      </c>
      <c r="B48" s="26" t="s">
        <v>38</v>
      </c>
      <c r="C48" s="26" t="s">
        <v>39</v>
      </c>
      <c r="D48" s="26" t="s">
        <v>467</v>
      </c>
      <c r="E48" s="26" t="s">
        <v>41</v>
      </c>
    </row>
    <row r="49" spans="1:5">
      <c r="A49" s="27" t="s">
        <v>512</v>
      </c>
      <c r="B49" s="3" t="s">
        <v>47</v>
      </c>
      <c r="C49" s="3" t="s">
        <v>104</v>
      </c>
      <c r="D49" s="3" t="s">
        <v>513</v>
      </c>
      <c r="E49" s="5" t="s">
        <v>514</v>
      </c>
    </row>
  </sheetData>
  <mergeCells count="18">
    <mergeCell ref="G3:J3"/>
    <mergeCell ref="K3:N3"/>
    <mergeCell ref="O3:R3"/>
    <mergeCell ref="A5:R5"/>
    <mergeCell ref="A9:R9"/>
    <mergeCell ref="A12:R12"/>
    <mergeCell ref="A15:R15"/>
    <mergeCell ref="A18:R18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6.6666666666667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515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225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516</v>
      </c>
      <c r="B6" s="17" t="s">
        <v>517</v>
      </c>
      <c r="C6" s="17" t="s">
        <v>518</v>
      </c>
      <c r="D6" s="17" t="str">
        <f>"0,9200"</f>
        <v>0,9200</v>
      </c>
      <c r="E6" s="17" t="s">
        <v>16</v>
      </c>
      <c r="F6" s="17" t="s">
        <v>519</v>
      </c>
      <c r="G6" s="18" t="s">
        <v>122</v>
      </c>
      <c r="H6" s="18" t="s">
        <v>20</v>
      </c>
      <c r="I6" s="18" t="s">
        <v>456</v>
      </c>
      <c r="J6" s="46"/>
      <c r="K6" s="32" t="str">
        <f>"80,0"</f>
        <v>80,0</v>
      </c>
      <c r="L6" s="33" t="str">
        <f>"73,5960"</f>
        <v>73,5960</v>
      </c>
      <c r="M6" s="17" t="s">
        <v>21</v>
      </c>
    </row>
    <row r="8" ht="15.75" spans="1:10">
      <c r="A8" s="19" t="s">
        <v>58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520</v>
      </c>
      <c r="B9" s="17" t="s">
        <v>521</v>
      </c>
      <c r="C9" s="17" t="s">
        <v>65</v>
      </c>
      <c r="D9" s="17" t="str">
        <f>"0,6899"</f>
        <v>0,6899</v>
      </c>
      <c r="E9" s="17" t="s">
        <v>16</v>
      </c>
      <c r="F9" s="17" t="s">
        <v>55</v>
      </c>
      <c r="G9" s="18" t="s">
        <v>360</v>
      </c>
      <c r="H9" s="18" t="s">
        <v>129</v>
      </c>
      <c r="I9" s="46"/>
      <c r="J9" s="46"/>
      <c r="K9" s="32" t="str">
        <f>"120,0"</f>
        <v>120,0</v>
      </c>
      <c r="L9" s="33" t="str">
        <f>"82,7880"</f>
        <v>82,7880</v>
      </c>
      <c r="M9" s="17" t="s">
        <v>21</v>
      </c>
    </row>
    <row r="11" ht="15.75" spans="1:10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3">
      <c r="A12" s="34" t="s">
        <v>522</v>
      </c>
      <c r="B12" s="34" t="s">
        <v>523</v>
      </c>
      <c r="C12" s="34" t="s">
        <v>524</v>
      </c>
      <c r="D12" s="34" t="str">
        <f>"0,6251"</f>
        <v>0,6251</v>
      </c>
      <c r="E12" s="34" t="s">
        <v>16</v>
      </c>
      <c r="F12" s="34" t="s">
        <v>525</v>
      </c>
      <c r="G12" s="35" t="s">
        <v>356</v>
      </c>
      <c r="H12" s="35" t="s">
        <v>153</v>
      </c>
      <c r="I12" s="35" t="s">
        <v>154</v>
      </c>
      <c r="J12" s="47"/>
      <c r="K12" s="40" t="str">
        <f>"160,0"</f>
        <v>160,0</v>
      </c>
      <c r="L12" s="41" t="str">
        <f>"100,0160"</f>
        <v>100,0160</v>
      </c>
      <c r="M12" s="34" t="s">
        <v>21</v>
      </c>
    </row>
    <row r="13" spans="1:13">
      <c r="A13" s="38" t="s">
        <v>526</v>
      </c>
      <c r="B13" s="38" t="s">
        <v>527</v>
      </c>
      <c r="C13" s="38" t="s">
        <v>528</v>
      </c>
      <c r="D13" s="38" t="str">
        <f>"0,6392"</f>
        <v>0,6392</v>
      </c>
      <c r="E13" s="38" t="s">
        <v>16</v>
      </c>
      <c r="F13" s="38" t="s">
        <v>529</v>
      </c>
      <c r="G13" s="39" t="s">
        <v>483</v>
      </c>
      <c r="H13" s="39" t="s">
        <v>124</v>
      </c>
      <c r="I13" s="48" t="s">
        <v>320</v>
      </c>
      <c r="J13" s="48"/>
      <c r="K13" s="44" t="str">
        <f>"100,0"</f>
        <v>100,0</v>
      </c>
      <c r="L13" s="45" t="str">
        <f>"74,4668"</f>
        <v>74,4668</v>
      </c>
      <c r="M13" s="38" t="s">
        <v>21</v>
      </c>
    </row>
    <row r="15" ht="15.75" spans="1:10">
      <c r="A15" s="19" t="s">
        <v>77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3">
      <c r="A16" s="17" t="s">
        <v>530</v>
      </c>
      <c r="B16" s="17" t="s">
        <v>531</v>
      </c>
      <c r="C16" s="17" t="s">
        <v>80</v>
      </c>
      <c r="D16" s="17" t="str">
        <f>"0,5843"</f>
        <v>0,5843</v>
      </c>
      <c r="E16" s="17" t="s">
        <v>16</v>
      </c>
      <c r="F16" s="17" t="s">
        <v>55</v>
      </c>
      <c r="G16" s="18" t="s">
        <v>154</v>
      </c>
      <c r="H16" s="46" t="s">
        <v>146</v>
      </c>
      <c r="I16" s="18" t="s">
        <v>146</v>
      </c>
      <c r="J16" s="46"/>
      <c r="K16" s="32" t="str">
        <f>"170,0"</f>
        <v>170,0</v>
      </c>
      <c r="L16" s="33" t="str">
        <f>"99,3310"</f>
        <v>99,3310</v>
      </c>
      <c r="M16" s="17" t="s">
        <v>21</v>
      </c>
    </row>
    <row r="18" ht="15.75" spans="1:10">
      <c r="A18" s="19" t="s">
        <v>170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3">
      <c r="A19" s="17" t="s">
        <v>532</v>
      </c>
      <c r="B19" s="17" t="s">
        <v>533</v>
      </c>
      <c r="C19" s="17" t="s">
        <v>534</v>
      </c>
      <c r="D19" s="17" t="str">
        <f>"0,5530"</f>
        <v>0,5530</v>
      </c>
      <c r="E19" s="17" t="s">
        <v>16</v>
      </c>
      <c r="F19" s="17" t="s">
        <v>535</v>
      </c>
      <c r="G19" s="18" t="s">
        <v>153</v>
      </c>
      <c r="H19" s="18" t="s">
        <v>154</v>
      </c>
      <c r="I19" s="18" t="s">
        <v>146</v>
      </c>
      <c r="J19" s="46"/>
      <c r="K19" s="32" t="str">
        <f>"170,0"</f>
        <v>170,0</v>
      </c>
      <c r="L19" s="33" t="str">
        <f>"103,1290"</f>
        <v>103,1290</v>
      </c>
      <c r="M19" s="17" t="s">
        <v>21</v>
      </c>
    </row>
    <row r="21" ht="15.75" spans="5:5">
      <c r="E21" s="21" t="s">
        <v>29</v>
      </c>
    </row>
    <row r="22" ht="15.75" spans="5:5">
      <c r="E22" s="21" t="s">
        <v>30</v>
      </c>
    </row>
    <row r="23" ht="15.75" spans="5:5">
      <c r="E23" s="21" t="s">
        <v>31</v>
      </c>
    </row>
    <row r="24" ht="15.75" spans="5:5">
      <c r="E24" s="21" t="s">
        <v>32</v>
      </c>
    </row>
    <row r="25" ht="15.75" spans="5:5">
      <c r="E25" s="21" t="s">
        <v>32</v>
      </c>
    </row>
    <row r="26" ht="15.75" spans="5:5">
      <c r="E26" s="21" t="s">
        <v>33</v>
      </c>
    </row>
    <row r="27" ht="15.75" spans="5:5">
      <c r="E27" s="21"/>
    </row>
    <row r="29" ht="18.75" spans="1:2">
      <c r="A29" s="22" t="s">
        <v>34</v>
      </c>
      <c r="B29" s="22"/>
    </row>
    <row r="30" ht="15.75" spans="1:2">
      <c r="A30" s="23" t="s">
        <v>175</v>
      </c>
      <c r="B30" s="23"/>
    </row>
    <row r="31" ht="15" spans="1:2">
      <c r="A31" s="24"/>
      <c r="B31" s="25" t="s">
        <v>36</v>
      </c>
    </row>
    <row r="32" ht="14.25" spans="1:5">
      <c r="A32" s="26" t="s">
        <v>37</v>
      </c>
      <c r="B32" s="26" t="s">
        <v>38</v>
      </c>
      <c r="C32" s="26" t="s">
        <v>39</v>
      </c>
      <c r="D32" s="26" t="s">
        <v>40</v>
      </c>
      <c r="E32" s="26" t="s">
        <v>41</v>
      </c>
    </row>
    <row r="33" spans="1:5">
      <c r="A33" s="27" t="s">
        <v>536</v>
      </c>
      <c r="B33" s="3" t="s">
        <v>36</v>
      </c>
      <c r="C33" s="3" t="s">
        <v>107</v>
      </c>
      <c r="D33" s="3" t="s">
        <v>456</v>
      </c>
      <c r="E33" s="5" t="s">
        <v>537</v>
      </c>
    </row>
    <row r="36" ht="15.75" spans="1:2">
      <c r="A36" s="23" t="s">
        <v>35</v>
      </c>
      <c r="B36" s="23"/>
    </row>
    <row r="37" ht="15" spans="1:2">
      <c r="A37" s="24"/>
      <c r="B37" s="25" t="s">
        <v>36</v>
      </c>
    </row>
    <row r="38" ht="14.25" spans="1:5">
      <c r="A38" s="26" t="s">
        <v>37</v>
      </c>
      <c r="B38" s="26" t="s">
        <v>38</v>
      </c>
      <c r="C38" s="26" t="s">
        <v>39</v>
      </c>
      <c r="D38" s="26" t="s">
        <v>40</v>
      </c>
      <c r="E38" s="26" t="s">
        <v>41</v>
      </c>
    </row>
    <row r="39" spans="1:5">
      <c r="A39" s="27" t="s">
        <v>538</v>
      </c>
      <c r="B39" s="3" t="s">
        <v>36</v>
      </c>
      <c r="C39" s="3" t="s">
        <v>43</v>
      </c>
      <c r="D39" s="3" t="s">
        <v>154</v>
      </c>
      <c r="E39" s="5" t="s">
        <v>539</v>
      </c>
    </row>
    <row r="40" spans="1:5">
      <c r="A40" s="27" t="s">
        <v>540</v>
      </c>
      <c r="B40" s="3" t="s">
        <v>36</v>
      </c>
      <c r="C40" s="3" t="s">
        <v>104</v>
      </c>
      <c r="D40" s="3" t="s">
        <v>146</v>
      </c>
      <c r="E40" s="5" t="s">
        <v>541</v>
      </c>
    </row>
    <row r="41" spans="1:5">
      <c r="A41" s="27" t="s">
        <v>542</v>
      </c>
      <c r="B41" s="3" t="s">
        <v>36</v>
      </c>
      <c r="C41" s="3" t="s">
        <v>96</v>
      </c>
      <c r="D41" s="3" t="s">
        <v>129</v>
      </c>
      <c r="E41" s="5" t="s">
        <v>543</v>
      </c>
    </row>
    <row r="43" ht="15" spans="1:2">
      <c r="A43" s="24"/>
      <c r="B43" s="25" t="s">
        <v>45</v>
      </c>
    </row>
    <row r="44" ht="14.25" spans="1:5">
      <c r="A44" s="26" t="s">
        <v>37</v>
      </c>
      <c r="B44" s="26" t="s">
        <v>38</v>
      </c>
      <c r="C44" s="26" t="s">
        <v>39</v>
      </c>
      <c r="D44" s="26" t="s">
        <v>40</v>
      </c>
      <c r="E44" s="26" t="s">
        <v>41</v>
      </c>
    </row>
    <row r="45" spans="1:5">
      <c r="A45" s="27" t="s">
        <v>544</v>
      </c>
      <c r="B45" s="3" t="s">
        <v>259</v>
      </c>
      <c r="C45" s="3" t="s">
        <v>196</v>
      </c>
      <c r="D45" s="3" t="s">
        <v>146</v>
      </c>
      <c r="E45" s="5" t="s">
        <v>545</v>
      </c>
    </row>
    <row r="46" spans="1:5">
      <c r="A46" s="27" t="s">
        <v>546</v>
      </c>
      <c r="B46" s="3" t="s">
        <v>261</v>
      </c>
      <c r="C46" s="3" t="s">
        <v>43</v>
      </c>
      <c r="D46" s="3" t="s">
        <v>124</v>
      </c>
      <c r="E46" s="5" t="s">
        <v>547</v>
      </c>
    </row>
  </sheetData>
  <mergeCells count="16">
    <mergeCell ref="G3:J3"/>
    <mergeCell ref="A5:J5"/>
    <mergeCell ref="A8:J8"/>
    <mergeCell ref="A11:J11"/>
    <mergeCell ref="A15:J15"/>
    <mergeCell ref="A18:J18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14.7777777777778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548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8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451</v>
      </c>
      <c r="H3" s="12"/>
      <c r="I3" s="12"/>
      <c r="J3" s="12"/>
      <c r="K3" s="12" t="s">
        <v>225</v>
      </c>
      <c r="L3" s="12"/>
      <c r="M3" s="12"/>
      <c r="N3" s="12"/>
      <c r="O3" s="12" t="s">
        <v>117</v>
      </c>
      <c r="P3" s="12"/>
      <c r="Q3" s="12"/>
      <c r="R3" s="12"/>
      <c r="S3" s="12" t="s">
        <v>449</v>
      </c>
      <c r="T3" s="12" t="s">
        <v>9</v>
      </c>
      <c r="U3" s="30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1"/>
    </row>
    <row r="5" ht="15.75" spans="1:18">
      <c r="A5" s="15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549</v>
      </c>
      <c r="B6" s="17" t="s">
        <v>550</v>
      </c>
      <c r="C6" s="17" t="s">
        <v>551</v>
      </c>
      <c r="D6" s="17" t="str">
        <f>"0,6226"</f>
        <v>0,6226</v>
      </c>
      <c r="E6" s="17" t="s">
        <v>16</v>
      </c>
      <c r="F6" s="17" t="s">
        <v>55</v>
      </c>
      <c r="G6" s="18" t="s">
        <v>470</v>
      </c>
      <c r="H6" s="18" t="s">
        <v>207</v>
      </c>
      <c r="I6" s="46" t="s">
        <v>208</v>
      </c>
      <c r="J6" s="46"/>
      <c r="K6" s="18" t="s">
        <v>356</v>
      </c>
      <c r="L6" s="18" t="s">
        <v>153</v>
      </c>
      <c r="M6" s="18" t="s">
        <v>330</v>
      </c>
      <c r="N6" s="46"/>
      <c r="O6" s="18" t="s">
        <v>552</v>
      </c>
      <c r="P6" s="18" t="s">
        <v>215</v>
      </c>
      <c r="Q6" s="18" t="s">
        <v>216</v>
      </c>
      <c r="R6" s="46"/>
      <c r="S6" s="32" t="str">
        <f>"682,5"</f>
        <v>682,5</v>
      </c>
      <c r="T6" s="33" t="str">
        <f>"438,0972"</f>
        <v>438,0972</v>
      </c>
      <c r="U6" s="17" t="s">
        <v>21</v>
      </c>
    </row>
    <row r="8" ht="15.75" spans="1:18">
      <c r="A8" s="19" t="s">
        <v>170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1">
      <c r="A9" s="17" t="s">
        <v>553</v>
      </c>
      <c r="B9" s="17" t="s">
        <v>554</v>
      </c>
      <c r="C9" s="17" t="s">
        <v>555</v>
      </c>
      <c r="D9" s="17" t="str">
        <f>"0,5576"</f>
        <v>0,5576</v>
      </c>
      <c r="E9" s="17" t="s">
        <v>26</v>
      </c>
      <c r="F9" s="17" t="s">
        <v>27</v>
      </c>
      <c r="G9" s="46" t="s">
        <v>159</v>
      </c>
      <c r="H9" s="18" t="s">
        <v>159</v>
      </c>
      <c r="I9" s="46" t="s">
        <v>241</v>
      </c>
      <c r="J9" s="46"/>
      <c r="K9" s="46" t="s">
        <v>268</v>
      </c>
      <c r="L9" s="18" t="s">
        <v>268</v>
      </c>
      <c r="M9" s="46" t="s">
        <v>234</v>
      </c>
      <c r="N9" s="46"/>
      <c r="O9" s="18" t="s">
        <v>230</v>
      </c>
      <c r="P9" s="18" t="s">
        <v>168</v>
      </c>
      <c r="Q9" s="18" t="s">
        <v>552</v>
      </c>
      <c r="R9" s="46"/>
      <c r="S9" s="32" t="str">
        <f>"580,0"</f>
        <v>580,0</v>
      </c>
      <c r="T9" s="33" t="str">
        <f>"323,4080"</f>
        <v>323,4080</v>
      </c>
      <c r="U9" s="17" t="s">
        <v>21</v>
      </c>
    </row>
    <row r="11" ht="15.75" spans="5:5">
      <c r="E11" s="21" t="s">
        <v>29</v>
      </c>
    </row>
    <row r="12" ht="15.75" spans="5:5">
      <c r="E12" s="21" t="s">
        <v>30</v>
      </c>
    </row>
    <row r="13" ht="15.75" spans="5:5">
      <c r="E13" s="21" t="s">
        <v>31</v>
      </c>
    </row>
    <row r="14" ht="15.75" spans="5:5">
      <c r="E14" s="21" t="s">
        <v>32</v>
      </c>
    </row>
    <row r="15" ht="15.75" spans="5:5">
      <c r="E15" s="21" t="s">
        <v>32</v>
      </c>
    </row>
    <row r="16" ht="15.75" spans="5:5">
      <c r="E16" s="21" t="s">
        <v>33</v>
      </c>
    </row>
    <row r="17" ht="15.75" spans="5:5">
      <c r="E17" s="21"/>
    </row>
    <row r="19" ht="18.75" spans="1:2">
      <c r="A19" s="22" t="s">
        <v>34</v>
      </c>
      <c r="B19" s="22"/>
    </row>
    <row r="20" ht="15.75" spans="1:2">
      <c r="A20" s="23" t="s">
        <v>35</v>
      </c>
      <c r="B20" s="23"/>
    </row>
    <row r="21" ht="15" spans="1:2">
      <c r="A21" s="24"/>
      <c r="B21" s="25" t="s">
        <v>93</v>
      </c>
    </row>
    <row r="22" ht="14.25" spans="1:5">
      <c r="A22" s="26" t="s">
        <v>37</v>
      </c>
      <c r="B22" s="26" t="s">
        <v>38</v>
      </c>
      <c r="C22" s="26" t="s">
        <v>39</v>
      </c>
      <c r="D22" s="26" t="s">
        <v>467</v>
      </c>
      <c r="E22" s="26" t="s">
        <v>41</v>
      </c>
    </row>
    <row r="23" spans="1:5">
      <c r="A23" s="27" t="s">
        <v>556</v>
      </c>
      <c r="B23" s="3" t="s">
        <v>99</v>
      </c>
      <c r="C23" s="3" t="s">
        <v>196</v>
      </c>
      <c r="D23" s="3" t="s">
        <v>557</v>
      </c>
      <c r="E23" s="5" t="s">
        <v>558</v>
      </c>
    </row>
    <row r="25" ht="15" spans="1:2">
      <c r="A25" s="24"/>
      <c r="B25" s="25" t="s">
        <v>45</v>
      </c>
    </row>
    <row r="26" ht="14.25" spans="1:5">
      <c r="A26" s="26" t="s">
        <v>37</v>
      </c>
      <c r="B26" s="26" t="s">
        <v>38</v>
      </c>
      <c r="C26" s="26" t="s">
        <v>39</v>
      </c>
      <c r="D26" s="26" t="s">
        <v>467</v>
      </c>
      <c r="E26" s="26" t="s">
        <v>41</v>
      </c>
    </row>
    <row r="27" spans="1:5">
      <c r="A27" s="27" t="s">
        <v>559</v>
      </c>
      <c r="B27" s="3" t="s">
        <v>47</v>
      </c>
      <c r="C27" s="3" t="s">
        <v>43</v>
      </c>
      <c r="D27" s="3" t="s">
        <v>560</v>
      </c>
      <c r="E27" s="5" t="s">
        <v>561</v>
      </c>
    </row>
  </sheetData>
  <mergeCells count="15">
    <mergeCell ref="G3:J3"/>
    <mergeCell ref="K3:N3"/>
    <mergeCell ref="O3:R3"/>
    <mergeCell ref="A5:R5"/>
    <mergeCell ref="A8:R8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8.22222222222222" style="3" customWidth="1"/>
    <col min="5" max="5" width="21.7777777777778" style="3" customWidth="1"/>
    <col min="6" max="6" width="16.2222222222222" style="3" customWidth="1"/>
    <col min="7" max="9" width="5.55555555555556" style="4" customWidth="1"/>
    <col min="10" max="10" width="4.55555555555556" style="4" customWidth="1"/>
    <col min="11" max="13" width="5.55555555555556" style="4" customWidth="1"/>
    <col min="14" max="14" width="4.55555555555556" style="4" customWidth="1"/>
    <col min="15" max="17" width="5.55555555555556" style="4" customWidth="1"/>
    <col min="18" max="18" width="4.55555555555556" style="4" customWidth="1"/>
    <col min="19" max="19" width="7.66666666666667" style="5" customWidth="1"/>
    <col min="20" max="20" width="8.55555555555556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562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8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451</v>
      </c>
      <c r="H3" s="12"/>
      <c r="I3" s="12"/>
      <c r="J3" s="12"/>
      <c r="K3" s="12" t="s">
        <v>225</v>
      </c>
      <c r="L3" s="12"/>
      <c r="M3" s="12"/>
      <c r="N3" s="12"/>
      <c r="O3" s="12" t="s">
        <v>117</v>
      </c>
      <c r="P3" s="12"/>
      <c r="Q3" s="12"/>
      <c r="R3" s="12"/>
      <c r="S3" s="12" t="s">
        <v>449</v>
      </c>
      <c r="T3" s="12" t="s">
        <v>9</v>
      </c>
      <c r="U3" s="30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1"/>
    </row>
    <row r="5" ht="15.75" spans="1:18">
      <c r="A5" s="15" t="s">
        <v>288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1">
      <c r="A6" s="17" t="s">
        <v>563</v>
      </c>
      <c r="B6" s="17" t="s">
        <v>564</v>
      </c>
      <c r="C6" s="17" t="s">
        <v>565</v>
      </c>
      <c r="D6" s="17" t="str">
        <f>"0,9930"</f>
        <v>0,9930</v>
      </c>
      <c r="E6" s="17" t="s">
        <v>16</v>
      </c>
      <c r="F6" s="17" t="s">
        <v>519</v>
      </c>
      <c r="G6" s="18" t="s">
        <v>28</v>
      </c>
      <c r="H6" s="18" t="s">
        <v>81</v>
      </c>
      <c r="I6" s="46" t="s">
        <v>18</v>
      </c>
      <c r="J6" s="46"/>
      <c r="K6" s="18" t="s">
        <v>284</v>
      </c>
      <c r="L6" s="18" t="s">
        <v>85</v>
      </c>
      <c r="M6" s="46" t="s">
        <v>482</v>
      </c>
      <c r="N6" s="46"/>
      <c r="O6" s="18" t="s">
        <v>19</v>
      </c>
      <c r="P6" s="18" t="s">
        <v>20</v>
      </c>
      <c r="Q6" s="18" t="s">
        <v>300</v>
      </c>
      <c r="R6" s="46"/>
      <c r="S6" s="32" t="str">
        <f>"177,5"</f>
        <v>177,5</v>
      </c>
      <c r="T6" s="33" t="str">
        <f>"176,2486"</f>
        <v>176,2486</v>
      </c>
      <c r="U6" s="17" t="s">
        <v>21</v>
      </c>
    </row>
    <row r="8" ht="15.75" spans="1:18">
      <c r="A8" s="19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21">
      <c r="A9" s="17" t="s">
        <v>566</v>
      </c>
      <c r="B9" s="17" t="s">
        <v>567</v>
      </c>
      <c r="C9" s="17" t="s">
        <v>568</v>
      </c>
      <c r="D9" s="17" t="str">
        <f>"0,6446"</f>
        <v>0,6446</v>
      </c>
      <c r="E9" s="17" t="s">
        <v>16</v>
      </c>
      <c r="F9" s="17" t="s">
        <v>569</v>
      </c>
      <c r="G9" s="18" t="s">
        <v>356</v>
      </c>
      <c r="H9" s="18" t="s">
        <v>371</v>
      </c>
      <c r="I9" s="18" t="s">
        <v>498</v>
      </c>
      <c r="J9" s="46"/>
      <c r="K9" s="18" t="s">
        <v>360</v>
      </c>
      <c r="L9" s="18" t="s">
        <v>570</v>
      </c>
      <c r="M9" s="46" t="s">
        <v>315</v>
      </c>
      <c r="N9" s="46"/>
      <c r="O9" s="18" t="s">
        <v>148</v>
      </c>
      <c r="P9" s="18" t="s">
        <v>134</v>
      </c>
      <c r="Q9" s="18" t="s">
        <v>571</v>
      </c>
      <c r="R9" s="46"/>
      <c r="S9" s="32" t="str">
        <f>"472,5"</f>
        <v>472,5</v>
      </c>
      <c r="T9" s="33" t="str">
        <f>"349,3458"</f>
        <v>349,3458</v>
      </c>
      <c r="U9" s="17" t="s">
        <v>21</v>
      </c>
    </row>
    <row r="11" ht="15.75" spans="1:18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1">
      <c r="A12" s="17" t="s">
        <v>23</v>
      </c>
      <c r="B12" s="17" t="s">
        <v>24</v>
      </c>
      <c r="C12" s="17" t="s">
        <v>25</v>
      </c>
      <c r="D12" s="17" t="str">
        <f>"0,6173"</f>
        <v>0,6173</v>
      </c>
      <c r="E12" s="17" t="s">
        <v>26</v>
      </c>
      <c r="F12" s="17" t="s">
        <v>27</v>
      </c>
      <c r="G12" s="18" t="s">
        <v>159</v>
      </c>
      <c r="H12" s="18" t="s">
        <v>163</v>
      </c>
      <c r="I12" s="46" t="s">
        <v>164</v>
      </c>
      <c r="J12" s="46"/>
      <c r="K12" s="18" t="s">
        <v>356</v>
      </c>
      <c r="L12" s="18" t="s">
        <v>153</v>
      </c>
      <c r="M12" s="18" t="s">
        <v>234</v>
      </c>
      <c r="N12" s="46"/>
      <c r="O12" s="18" t="s">
        <v>230</v>
      </c>
      <c r="P12" s="18" t="s">
        <v>168</v>
      </c>
      <c r="Q12" s="18" t="s">
        <v>552</v>
      </c>
      <c r="R12" s="46"/>
      <c r="S12" s="32" t="str">
        <f>"600,0"</f>
        <v>600,0</v>
      </c>
      <c r="T12" s="33" t="str">
        <f>"370,3800"</f>
        <v>370,3800</v>
      </c>
      <c r="U12" s="17" t="s">
        <v>21</v>
      </c>
    </row>
    <row r="14" ht="15.75" spans="5:5">
      <c r="E14" s="21" t="s">
        <v>29</v>
      </c>
    </row>
    <row r="15" ht="15.75" spans="5:5">
      <c r="E15" s="21" t="s">
        <v>30</v>
      </c>
    </row>
    <row r="16" ht="15.75" spans="5:5">
      <c r="E16" s="21" t="s">
        <v>31</v>
      </c>
    </row>
    <row r="17" ht="15.75" spans="5:5">
      <c r="E17" s="21" t="s">
        <v>32</v>
      </c>
    </row>
    <row r="18" ht="15.75" spans="5:5">
      <c r="E18" s="21" t="s">
        <v>32</v>
      </c>
    </row>
    <row r="19" ht="15.75" spans="5:5">
      <c r="E19" s="21" t="s">
        <v>33</v>
      </c>
    </row>
    <row r="20" ht="15.75" spans="5:5">
      <c r="E20" s="21"/>
    </row>
    <row r="22" ht="18.75" spans="1:2">
      <c r="A22" s="22" t="s">
        <v>34</v>
      </c>
      <c r="B22" s="22"/>
    </row>
    <row r="23" ht="15.75" spans="1:2">
      <c r="A23" s="23" t="s">
        <v>175</v>
      </c>
      <c r="B23" s="23"/>
    </row>
    <row r="24" ht="15" spans="1:2">
      <c r="A24" s="24"/>
      <c r="B24" s="25" t="s">
        <v>391</v>
      </c>
    </row>
    <row r="25" ht="14.25" spans="1:5">
      <c r="A25" s="26" t="s">
        <v>37</v>
      </c>
      <c r="B25" s="26" t="s">
        <v>38</v>
      </c>
      <c r="C25" s="26" t="s">
        <v>39</v>
      </c>
      <c r="D25" s="26" t="s">
        <v>467</v>
      </c>
      <c r="E25" s="26" t="s">
        <v>41</v>
      </c>
    </row>
    <row r="26" spans="1:5">
      <c r="A26" s="27" t="s">
        <v>572</v>
      </c>
      <c r="B26" s="3" t="s">
        <v>95</v>
      </c>
      <c r="C26" s="3" t="s">
        <v>401</v>
      </c>
      <c r="D26" s="3" t="s">
        <v>389</v>
      </c>
      <c r="E26" s="5" t="s">
        <v>573</v>
      </c>
    </row>
    <row r="29" ht="15.75" spans="1:2">
      <c r="A29" s="23" t="s">
        <v>35</v>
      </c>
      <c r="B29" s="23"/>
    </row>
    <row r="30" ht="15" spans="1:2">
      <c r="A30" s="24"/>
      <c r="B30" s="25" t="s">
        <v>36</v>
      </c>
    </row>
    <row r="31" ht="14.25" spans="1:5">
      <c r="A31" s="26" t="s">
        <v>37</v>
      </c>
      <c r="B31" s="26" t="s">
        <v>38</v>
      </c>
      <c r="C31" s="26" t="s">
        <v>39</v>
      </c>
      <c r="D31" s="26" t="s">
        <v>467</v>
      </c>
      <c r="E31" s="26" t="s">
        <v>41</v>
      </c>
    </row>
    <row r="32" spans="1:5">
      <c r="A32" s="27" t="s">
        <v>42</v>
      </c>
      <c r="B32" s="3" t="s">
        <v>36</v>
      </c>
      <c r="C32" s="3" t="s">
        <v>43</v>
      </c>
      <c r="D32" s="3" t="s">
        <v>574</v>
      </c>
      <c r="E32" s="5" t="s">
        <v>575</v>
      </c>
    </row>
    <row r="34" ht="15" spans="1:2">
      <c r="A34" s="24"/>
      <c r="B34" s="25" t="s">
        <v>45</v>
      </c>
    </row>
    <row r="35" ht="14.25" spans="1:5">
      <c r="A35" s="26" t="s">
        <v>37</v>
      </c>
      <c r="B35" s="26" t="s">
        <v>38</v>
      </c>
      <c r="C35" s="26" t="s">
        <v>39</v>
      </c>
      <c r="D35" s="26" t="s">
        <v>467</v>
      </c>
      <c r="E35" s="26" t="s">
        <v>41</v>
      </c>
    </row>
    <row r="36" spans="1:5">
      <c r="A36" s="27" t="s">
        <v>576</v>
      </c>
      <c r="B36" s="3" t="s">
        <v>261</v>
      </c>
      <c r="C36" s="3" t="s">
        <v>48</v>
      </c>
      <c r="D36" s="3" t="s">
        <v>577</v>
      </c>
      <c r="E36" s="5" t="s">
        <v>578</v>
      </c>
    </row>
  </sheetData>
  <mergeCells count="16">
    <mergeCell ref="G3:J3"/>
    <mergeCell ref="K3:N3"/>
    <mergeCell ref="O3:R3"/>
    <mergeCell ref="A5:R5"/>
    <mergeCell ref="A8:R8"/>
    <mergeCell ref="A11:R11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5.1111111111111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579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580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581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582</v>
      </c>
      <c r="B6" s="17" t="s">
        <v>583</v>
      </c>
      <c r="C6" s="17" t="s">
        <v>584</v>
      </c>
      <c r="D6" s="17" t="str">
        <f>"0,7691"</f>
        <v>0,7691</v>
      </c>
      <c r="E6" s="17" t="s">
        <v>16</v>
      </c>
      <c r="F6" s="17" t="s">
        <v>585</v>
      </c>
      <c r="G6" s="18" t="s">
        <v>122</v>
      </c>
      <c r="H6" s="18" t="s">
        <v>458</v>
      </c>
      <c r="I6" s="46" t="s">
        <v>483</v>
      </c>
      <c r="J6" s="46"/>
      <c r="K6" s="32" t="str">
        <f>"85,0"</f>
        <v>85,0</v>
      </c>
      <c r="L6" s="33" t="str">
        <f>"65,3735"</f>
        <v>65,3735</v>
      </c>
      <c r="M6" s="17" t="s">
        <v>21</v>
      </c>
    </row>
    <row r="8" ht="15.75" spans="5:5">
      <c r="E8" s="21" t="s">
        <v>29</v>
      </c>
    </row>
    <row r="9" ht="15.75" spans="5:5">
      <c r="E9" s="21" t="s">
        <v>30</v>
      </c>
    </row>
    <row r="10" ht="15.75" spans="5:5">
      <c r="E10" s="21" t="s">
        <v>31</v>
      </c>
    </row>
    <row r="11" ht="15.75" spans="5:5">
      <c r="E11" s="21" t="s">
        <v>32</v>
      </c>
    </row>
    <row r="12" ht="15.75" spans="5:5">
      <c r="E12" s="21" t="s">
        <v>32</v>
      </c>
    </row>
    <row r="13" ht="15.75" spans="5:5">
      <c r="E13" s="21" t="s">
        <v>33</v>
      </c>
    </row>
    <row r="14" ht="15.75" spans="5:5">
      <c r="E14" s="21"/>
    </row>
    <row r="16" ht="18.75" spans="1:2">
      <c r="A16" s="22" t="s">
        <v>34</v>
      </c>
      <c r="B16" s="22"/>
    </row>
    <row r="17" ht="15.75" spans="1:2">
      <c r="A17" s="23" t="s">
        <v>35</v>
      </c>
      <c r="B17" s="23"/>
    </row>
    <row r="18" ht="15" spans="1:2">
      <c r="A18" s="24"/>
      <c r="B18" s="25" t="s">
        <v>36</v>
      </c>
    </row>
    <row r="19" ht="14.25" spans="1:5">
      <c r="A19" s="26" t="s">
        <v>37</v>
      </c>
      <c r="B19" s="26" t="s">
        <v>38</v>
      </c>
      <c r="C19" s="26" t="s">
        <v>39</v>
      </c>
      <c r="D19" s="26" t="s">
        <v>40</v>
      </c>
      <c r="E19" s="26" t="s">
        <v>41</v>
      </c>
    </row>
    <row r="20" spans="1:5">
      <c r="A20" s="27" t="s">
        <v>586</v>
      </c>
      <c r="B20" s="3" t="s">
        <v>36</v>
      </c>
      <c r="C20" s="3" t="s">
        <v>587</v>
      </c>
      <c r="D20" s="3" t="s">
        <v>458</v>
      </c>
      <c r="E20" s="5" t="s">
        <v>588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8.6666666666667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10" width="5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589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580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590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4" t="s">
        <v>591</v>
      </c>
      <c r="B6" s="34" t="s">
        <v>592</v>
      </c>
      <c r="C6" s="34" t="s">
        <v>593</v>
      </c>
      <c r="D6" s="34" t="str">
        <f>"0,6858"</f>
        <v>0,6858</v>
      </c>
      <c r="E6" s="34" t="s">
        <v>16</v>
      </c>
      <c r="F6" s="34" t="s">
        <v>594</v>
      </c>
      <c r="G6" s="35" t="s">
        <v>124</v>
      </c>
      <c r="H6" s="35" t="s">
        <v>129</v>
      </c>
      <c r="I6" s="35" t="s">
        <v>310</v>
      </c>
      <c r="J6" s="47" t="s">
        <v>356</v>
      </c>
      <c r="K6" s="40" t="str">
        <f>"130,0"</f>
        <v>130,0</v>
      </c>
      <c r="L6" s="41" t="str">
        <f>"89,1540"</f>
        <v>89,1540</v>
      </c>
      <c r="M6" s="34" t="s">
        <v>21</v>
      </c>
    </row>
    <row r="7" spans="1:13">
      <c r="A7" s="38" t="s">
        <v>595</v>
      </c>
      <c r="B7" s="38" t="s">
        <v>596</v>
      </c>
      <c r="C7" s="38" t="s">
        <v>597</v>
      </c>
      <c r="D7" s="38" t="str">
        <f>"0,6786"</f>
        <v>0,6786</v>
      </c>
      <c r="E7" s="38" t="s">
        <v>16</v>
      </c>
      <c r="F7" s="38" t="s">
        <v>55</v>
      </c>
      <c r="G7" s="39" t="s">
        <v>129</v>
      </c>
      <c r="H7" s="39" t="s">
        <v>310</v>
      </c>
      <c r="I7" s="48" t="s">
        <v>356</v>
      </c>
      <c r="J7" s="48"/>
      <c r="K7" s="44" t="str">
        <f>"130,0"</f>
        <v>130,0</v>
      </c>
      <c r="L7" s="45" t="str">
        <f>"88,2180"</f>
        <v>88,2180</v>
      </c>
      <c r="M7" s="38" t="s">
        <v>21</v>
      </c>
    </row>
    <row r="9" ht="15.75" spans="1:10">
      <c r="A9" s="19" t="s">
        <v>77</v>
      </c>
      <c r="B9" s="20"/>
      <c r="C9" s="20"/>
      <c r="D9" s="20"/>
      <c r="E9" s="20"/>
      <c r="F9" s="20"/>
      <c r="G9" s="20"/>
      <c r="H9" s="20"/>
      <c r="I9" s="20"/>
      <c r="J9" s="20"/>
    </row>
    <row r="10" spans="1:13">
      <c r="A10" s="34" t="s">
        <v>598</v>
      </c>
      <c r="B10" s="34" t="s">
        <v>599</v>
      </c>
      <c r="C10" s="34" t="s">
        <v>600</v>
      </c>
      <c r="D10" s="34" t="str">
        <f>"0,5905"</f>
        <v>0,5905</v>
      </c>
      <c r="E10" s="34" t="s">
        <v>16</v>
      </c>
      <c r="F10" s="34" t="s">
        <v>342</v>
      </c>
      <c r="G10" s="35" t="s">
        <v>153</v>
      </c>
      <c r="H10" s="35" t="s">
        <v>154</v>
      </c>
      <c r="I10" s="35" t="s">
        <v>146</v>
      </c>
      <c r="J10" s="47" t="s">
        <v>147</v>
      </c>
      <c r="K10" s="40" t="str">
        <f>"170,0"</f>
        <v>170,0</v>
      </c>
      <c r="L10" s="41" t="str">
        <f>"100,3850"</f>
        <v>100,3850</v>
      </c>
      <c r="M10" s="34" t="s">
        <v>21</v>
      </c>
    </row>
    <row r="11" spans="1:13">
      <c r="A11" s="38" t="s">
        <v>601</v>
      </c>
      <c r="B11" s="38" t="s">
        <v>602</v>
      </c>
      <c r="C11" s="38" t="s">
        <v>603</v>
      </c>
      <c r="D11" s="38" t="str">
        <f>"0,5853"</f>
        <v>0,5853</v>
      </c>
      <c r="E11" s="38" t="s">
        <v>16</v>
      </c>
      <c r="F11" s="38" t="s">
        <v>55</v>
      </c>
      <c r="G11" s="39" t="s">
        <v>130</v>
      </c>
      <c r="H11" s="39" t="s">
        <v>268</v>
      </c>
      <c r="I11" s="48"/>
      <c r="J11" s="48"/>
      <c r="K11" s="44" t="str">
        <f>"145,0"</f>
        <v>145,0</v>
      </c>
      <c r="L11" s="45" t="str">
        <f>"118,2319"</f>
        <v>118,2319</v>
      </c>
      <c r="M11" s="38" t="s">
        <v>21</v>
      </c>
    </row>
    <row r="13" ht="15.75" spans="1:10">
      <c r="A13" s="19" t="s">
        <v>87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3">
      <c r="A14" s="17" t="s">
        <v>604</v>
      </c>
      <c r="B14" s="17" t="s">
        <v>605</v>
      </c>
      <c r="C14" s="17" t="s">
        <v>496</v>
      </c>
      <c r="D14" s="17" t="str">
        <f>"0,5666"</f>
        <v>0,5666</v>
      </c>
      <c r="E14" s="17" t="s">
        <v>16</v>
      </c>
      <c r="F14" s="17" t="s">
        <v>55</v>
      </c>
      <c r="G14" s="18" t="s">
        <v>153</v>
      </c>
      <c r="H14" s="46" t="s">
        <v>146</v>
      </c>
      <c r="I14" s="46"/>
      <c r="J14" s="46"/>
      <c r="K14" s="32" t="str">
        <f>"150,0"</f>
        <v>150,0</v>
      </c>
      <c r="L14" s="33" t="str">
        <f>"84,9975"</f>
        <v>84,9975</v>
      </c>
      <c r="M14" s="17" t="s">
        <v>21</v>
      </c>
    </row>
    <row r="16" ht="15.75" spans="1:10">
      <c r="A16" s="19" t="s">
        <v>170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3">
      <c r="A17" s="17" t="s">
        <v>606</v>
      </c>
      <c r="B17" s="17" t="s">
        <v>607</v>
      </c>
      <c r="C17" s="17" t="s">
        <v>608</v>
      </c>
      <c r="D17" s="17" t="str">
        <f>"0,5554"</f>
        <v>0,5554</v>
      </c>
      <c r="E17" s="17" t="s">
        <v>16</v>
      </c>
      <c r="F17" s="17" t="s">
        <v>594</v>
      </c>
      <c r="G17" s="18" t="s">
        <v>356</v>
      </c>
      <c r="H17" s="18" t="s">
        <v>146</v>
      </c>
      <c r="I17" s="18" t="s">
        <v>504</v>
      </c>
      <c r="J17" s="46" t="s">
        <v>609</v>
      </c>
      <c r="K17" s="32" t="str">
        <f>"227,5"</f>
        <v>227,5</v>
      </c>
      <c r="L17" s="33" t="str">
        <f>"126,3421"</f>
        <v>126,3421</v>
      </c>
      <c r="M17" s="17" t="s">
        <v>21</v>
      </c>
    </row>
    <row r="19" ht="15.75" spans="5:5">
      <c r="E19" s="21" t="s">
        <v>29</v>
      </c>
    </row>
    <row r="20" ht="15.75" spans="5:5">
      <c r="E20" s="21" t="s">
        <v>30</v>
      </c>
    </row>
    <row r="21" ht="15.75" spans="5:5">
      <c r="E21" s="21" t="s">
        <v>31</v>
      </c>
    </row>
    <row r="22" ht="15.75" spans="5:5">
      <c r="E22" s="21" t="s">
        <v>32</v>
      </c>
    </row>
    <row r="23" ht="15.75" spans="5:5">
      <c r="E23" s="21" t="s">
        <v>32</v>
      </c>
    </row>
    <row r="24" ht="15.75" spans="5:5">
      <c r="E24" s="21" t="s">
        <v>33</v>
      </c>
    </row>
    <row r="25" ht="15.75" spans="5:5">
      <c r="E25" s="21"/>
    </row>
    <row r="27" ht="18.75" spans="1:2">
      <c r="A27" s="22" t="s">
        <v>34</v>
      </c>
      <c r="B27" s="22"/>
    </row>
    <row r="28" ht="15.75" spans="1:2">
      <c r="A28" s="23" t="s">
        <v>35</v>
      </c>
      <c r="B28" s="23"/>
    </row>
    <row r="29" ht="15" spans="1:2">
      <c r="A29" s="24"/>
      <c r="B29" s="25" t="s">
        <v>101</v>
      </c>
    </row>
    <row r="30" ht="14.25" spans="1:5">
      <c r="A30" s="26" t="s">
        <v>37</v>
      </c>
      <c r="B30" s="26" t="s">
        <v>38</v>
      </c>
      <c r="C30" s="26" t="s">
        <v>39</v>
      </c>
      <c r="D30" s="26" t="s">
        <v>40</v>
      </c>
      <c r="E30" s="26" t="s">
        <v>41</v>
      </c>
    </row>
    <row r="31" spans="1:5">
      <c r="A31" s="27" t="s">
        <v>610</v>
      </c>
      <c r="B31" s="3" t="s">
        <v>101</v>
      </c>
      <c r="C31" s="3" t="s">
        <v>611</v>
      </c>
      <c r="D31" s="3" t="s">
        <v>310</v>
      </c>
      <c r="E31" s="5" t="s">
        <v>612</v>
      </c>
    </row>
    <row r="32" spans="1:5">
      <c r="A32" s="27" t="s">
        <v>613</v>
      </c>
      <c r="B32" s="3" t="s">
        <v>101</v>
      </c>
      <c r="C32" s="3" t="s">
        <v>252</v>
      </c>
      <c r="D32" s="3" t="s">
        <v>153</v>
      </c>
      <c r="E32" s="5" t="s">
        <v>614</v>
      </c>
    </row>
    <row r="34" ht="15" spans="1:2">
      <c r="A34" s="24"/>
      <c r="B34" s="25" t="s">
        <v>36</v>
      </c>
    </row>
    <row r="35" ht="14.25" spans="1:5">
      <c r="A35" s="26" t="s">
        <v>37</v>
      </c>
      <c r="B35" s="26" t="s">
        <v>38</v>
      </c>
      <c r="C35" s="26" t="s">
        <v>39</v>
      </c>
      <c r="D35" s="26" t="s">
        <v>40</v>
      </c>
      <c r="E35" s="26" t="s">
        <v>41</v>
      </c>
    </row>
    <row r="36" spans="1:5">
      <c r="A36" s="27" t="s">
        <v>615</v>
      </c>
      <c r="B36" s="3" t="s">
        <v>36</v>
      </c>
      <c r="C36" s="3" t="s">
        <v>196</v>
      </c>
      <c r="D36" s="3" t="s">
        <v>504</v>
      </c>
      <c r="E36" s="5" t="s">
        <v>616</v>
      </c>
    </row>
    <row r="37" spans="1:5">
      <c r="A37" s="27" t="s">
        <v>617</v>
      </c>
      <c r="B37" s="3" t="s">
        <v>36</v>
      </c>
      <c r="C37" s="3" t="s">
        <v>104</v>
      </c>
      <c r="D37" s="3" t="s">
        <v>146</v>
      </c>
      <c r="E37" s="5" t="s">
        <v>618</v>
      </c>
    </row>
    <row r="38" spans="1:5">
      <c r="A38" s="27" t="s">
        <v>619</v>
      </c>
      <c r="B38" s="3" t="s">
        <v>36</v>
      </c>
      <c r="C38" s="3" t="s">
        <v>611</v>
      </c>
      <c r="D38" s="3" t="s">
        <v>310</v>
      </c>
      <c r="E38" s="5" t="s">
        <v>620</v>
      </c>
    </row>
    <row r="40" ht="15" spans="1:2">
      <c r="A40" s="24"/>
      <c r="B40" s="25" t="s">
        <v>621</v>
      </c>
    </row>
    <row r="41" ht="14.25" spans="1:5">
      <c r="A41" s="26" t="s">
        <v>37</v>
      </c>
      <c r="B41" s="26" t="s">
        <v>38</v>
      </c>
      <c r="C41" s="26" t="s">
        <v>39</v>
      </c>
      <c r="D41" s="26" t="s">
        <v>40</v>
      </c>
      <c r="E41" s="26" t="s">
        <v>41</v>
      </c>
    </row>
    <row r="42" spans="1:5">
      <c r="A42" s="27" t="s">
        <v>622</v>
      </c>
      <c r="B42" s="3" t="s">
        <v>623</v>
      </c>
      <c r="C42" s="3" t="s">
        <v>104</v>
      </c>
      <c r="D42" s="3" t="s">
        <v>268</v>
      </c>
      <c r="E42" s="5" t="s">
        <v>624</v>
      </c>
    </row>
  </sheetData>
  <mergeCells count="15">
    <mergeCell ref="G3:J3"/>
    <mergeCell ref="A5:J5"/>
    <mergeCell ref="A9:J9"/>
    <mergeCell ref="A13:J13"/>
    <mergeCell ref="A16:J16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8.6666666666667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625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580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590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591</v>
      </c>
      <c r="B6" s="17" t="s">
        <v>592</v>
      </c>
      <c r="C6" s="17" t="s">
        <v>593</v>
      </c>
      <c r="D6" s="17" t="str">
        <f>"0,6858"</f>
        <v>0,6858</v>
      </c>
      <c r="E6" s="17" t="s">
        <v>16</v>
      </c>
      <c r="F6" s="17" t="s">
        <v>594</v>
      </c>
      <c r="G6" s="18" t="s">
        <v>626</v>
      </c>
      <c r="H6" s="18" t="s">
        <v>627</v>
      </c>
      <c r="I6" s="46" t="s">
        <v>628</v>
      </c>
      <c r="J6" s="46"/>
      <c r="K6" s="32" t="str">
        <f>"60,5"</f>
        <v>60,5</v>
      </c>
      <c r="L6" s="33" t="str">
        <f>"41,4909"</f>
        <v>41,4909</v>
      </c>
      <c r="M6" s="17" t="s">
        <v>21</v>
      </c>
    </row>
    <row r="8" ht="15.75" spans="1:10">
      <c r="A8" s="19" t="s">
        <v>77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598</v>
      </c>
      <c r="B9" s="17" t="s">
        <v>599</v>
      </c>
      <c r="C9" s="17" t="s">
        <v>600</v>
      </c>
      <c r="D9" s="17" t="str">
        <f>"0,5905"</f>
        <v>0,5905</v>
      </c>
      <c r="E9" s="17" t="s">
        <v>16</v>
      </c>
      <c r="F9" s="17" t="s">
        <v>342</v>
      </c>
      <c r="G9" s="18" t="s">
        <v>629</v>
      </c>
      <c r="H9" s="46" t="s">
        <v>630</v>
      </c>
      <c r="I9" s="46"/>
      <c r="J9" s="46"/>
      <c r="K9" s="32" t="str">
        <f>"80,5"</f>
        <v>80,5</v>
      </c>
      <c r="L9" s="33" t="str">
        <f>"47,5352"</f>
        <v>47,5352</v>
      </c>
      <c r="M9" s="17" t="s">
        <v>21</v>
      </c>
    </row>
    <row r="11" ht="15.75" spans="1:10">
      <c r="A11" s="19" t="s">
        <v>170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3">
      <c r="A12" s="34" t="s">
        <v>631</v>
      </c>
      <c r="B12" s="34" t="s">
        <v>632</v>
      </c>
      <c r="C12" s="34" t="s">
        <v>633</v>
      </c>
      <c r="D12" s="34" t="str">
        <f>"0,5526"</f>
        <v>0,5526</v>
      </c>
      <c r="E12" s="34" t="s">
        <v>16</v>
      </c>
      <c r="F12" s="34" t="s">
        <v>27</v>
      </c>
      <c r="G12" s="35" t="s">
        <v>634</v>
      </c>
      <c r="H12" s="35" t="s">
        <v>635</v>
      </c>
      <c r="I12" s="35" t="s">
        <v>636</v>
      </c>
      <c r="J12" s="35" t="s">
        <v>637</v>
      </c>
      <c r="K12" s="40" t="str">
        <f>"68,0"</f>
        <v>68,0</v>
      </c>
      <c r="L12" s="41" t="str">
        <f>"37,5768"</f>
        <v>37,5768</v>
      </c>
      <c r="M12" s="34" t="s">
        <v>21</v>
      </c>
    </row>
    <row r="13" spans="1:13">
      <c r="A13" s="38" t="s">
        <v>631</v>
      </c>
      <c r="B13" s="38" t="s">
        <v>638</v>
      </c>
      <c r="C13" s="38" t="s">
        <v>633</v>
      </c>
      <c r="D13" s="38" t="str">
        <f>"0,5526"</f>
        <v>0,5526</v>
      </c>
      <c r="E13" s="38" t="s">
        <v>16</v>
      </c>
      <c r="F13" s="38" t="s">
        <v>27</v>
      </c>
      <c r="G13" s="39" t="s">
        <v>634</v>
      </c>
      <c r="H13" s="39" t="s">
        <v>635</v>
      </c>
      <c r="I13" s="39" t="s">
        <v>636</v>
      </c>
      <c r="J13" s="39" t="s">
        <v>637</v>
      </c>
      <c r="K13" s="44" t="str">
        <f>"68,0"</f>
        <v>68,0</v>
      </c>
      <c r="L13" s="45" t="str">
        <f>"46,8207"</f>
        <v>46,8207</v>
      </c>
      <c r="M13" s="38" t="s">
        <v>21</v>
      </c>
    </row>
    <row r="15" ht="15.75" spans="5:5">
      <c r="E15" s="21" t="s">
        <v>29</v>
      </c>
    </row>
    <row r="16" ht="15.75" spans="5:5">
      <c r="E16" s="21" t="s">
        <v>30</v>
      </c>
    </row>
    <row r="17" ht="15.75" spans="5:5">
      <c r="E17" s="21" t="s">
        <v>31</v>
      </c>
    </row>
    <row r="18" ht="15.75" spans="5:5">
      <c r="E18" s="21" t="s">
        <v>32</v>
      </c>
    </row>
    <row r="19" ht="15.75" spans="5:5">
      <c r="E19" s="21" t="s">
        <v>32</v>
      </c>
    </row>
    <row r="20" ht="15.75" spans="5:5">
      <c r="E20" s="21" t="s">
        <v>33</v>
      </c>
    </row>
    <row r="21" ht="15.75" spans="5:5">
      <c r="E21" s="21"/>
    </row>
    <row r="23" ht="18.75" spans="1:2">
      <c r="A23" s="22" t="s">
        <v>34</v>
      </c>
      <c r="B23" s="22"/>
    </row>
    <row r="24" ht="15.75" spans="1:2">
      <c r="A24" s="23" t="s">
        <v>35</v>
      </c>
      <c r="B24" s="23"/>
    </row>
    <row r="25" ht="15" spans="1:2">
      <c r="A25" s="24"/>
      <c r="B25" s="25" t="s">
        <v>101</v>
      </c>
    </row>
    <row r="26" ht="14.25" spans="1:5">
      <c r="A26" s="26" t="s">
        <v>37</v>
      </c>
      <c r="B26" s="26" t="s">
        <v>38</v>
      </c>
      <c r="C26" s="26" t="s">
        <v>39</v>
      </c>
      <c r="D26" s="26" t="s">
        <v>40</v>
      </c>
      <c r="E26" s="26" t="s">
        <v>41</v>
      </c>
    </row>
    <row r="27" spans="1:5">
      <c r="A27" s="27" t="s">
        <v>610</v>
      </c>
      <c r="B27" s="3" t="s">
        <v>101</v>
      </c>
      <c r="C27" s="3" t="s">
        <v>611</v>
      </c>
      <c r="D27" s="3" t="s">
        <v>627</v>
      </c>
      <c r="E27" s="5" t="s">
        <v>639</v>
      </c>
    </row>
    <row r="29" ht="15" spans="1:2">
      <c r="A29" s="24"/>
      <c r="B29" s="25" t="s">
        <v>36</v>
      </c>
    </row>
    <row r="30" ht="14.25" spans="1:5">
      <c r="A30" s="26" t="s">
        <v>37</v>
      </c>
      <c r="B30" s="26" t="s">
        <v>38</v>
      </c>
      <c r="C30" s="26" t="s">
        <v>39</v>
      </c>
      <c r="D30" s="26" t="s">
        <v>40</v>
      </c>
      <c r="E30" s="26" t="s">
        <v>41</v>
      </c>
    </row>
    <row r="31" spans="1:5">
      <c r="A31" s="27" t="s">
        <v>617</v>
      </c>
      <c r="B31" s="3" t="s">
        <v>36</v>
      </c>
      <c r="C31" s="3" t="s">
        <v>104</v>
      </c>
      <c r="D31" s="3" t="s">
        <v>629</v>
      </c>
      <c r="E31" s="5" t="s">
        <v>640</v>
      </c>
    </row>
    <row r="32" spans="1:5">
      <c r="A32" s="27" t="s">
        <v>641</v>
      </c>
      <c r="B32" s="3" t="s">
        <v>36</v>
      </c>
      <c r="C32" s="3" t="s">
        <v>196</v>
      </c>
      <c r="D32" s="3" t="s">
        <v>637</v>
      </c>
      <c r="E32" s="5" t="s">
        <v>642</v>
      </c>
    </row>
    <row r="34" ht="15" spans="1:2">
      <c r="A34" s="24"/>
      <c r="B34" s="25" t="s">
        <v>621</v>
      </c>
    </row>
    <row r="35" ht="14.25" spans="1:5">
      <c r="A35" s="26" t="s">
        <v>37</v>
      </c>
      <c r="B35" s="26" t="s">
        <v>38</v>
      </c>
      <c r="C35" s="26" t="s">
        <v>39</v>
      </c>
      <c r="D35" s="26" t="s">
        <v>40</v>
      </c>
      <c r="E35" s="26" t="s">
        <v>41</v>
      </c>
    </row>
    <row r="36" spans="1:5">
      <c r="A36" s="27" t="s">
        <v>641</v>
      </c>
      <c r="B36" s="3" t="s">
        <v>643</v>
      </c>
      <c r="C36" s="3" t="s">
        <v>196</v>
      </c>
      <c r="D36" s="3" t="s">
        <v>637</v>
      </c>
      <c r="E36" s="5" t="s">
        <v>644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7" width="4.77777777777778" style="4" customWidth="1"/>
    <col min="8" max="8" width="10" style="4" customWidth="1"/>
    <col min="9" max="9" width="7.66666666666667" style="5" customWidth="1"/>
    <col min="10" max="10" width="9.55555555555556" style="1" customWidth="1"/>
    <col min="11" max="11" width="8.33333333333333" style="3" customWidth="1"/>
    <col min="12" max="16384" width="9.11111111111111" style="4"/>
  </cols>
  <sheetData>
    <row r="1" s="1" customFormat="1" ht="28.95" customHeight="1" spans="1:11">
      <c r="A1" s="6" t="s">
        <v>645</v>
      </c>
      <c r="B1" s="7"/>
      <c r="C1" s="7"/>
      <c r="D1" s="7"/>
      <c r="E1" s="7"/>
      <c r="F1" s="7"/>
      <c r="G1" s="7"/>
      <c r="H1" s="7"/>
      <c r="I1" s="7"/>
      <c r="J1" s="7"/>
      <c r="K1" s="28"/>
    </row>
    <row r="2" s="1" customFormat="1" ht="61.95" customHeight="1" spans="1:11">
      <c r="A2" s="8"/>
      <c r="B2" s="9"/>
      <c r="C2" s="9"/>
      <c r="D2" s="9"/>
      <c r="E2" s="9"/>
      <c r="F2" s="9"/>
      <c r="G2" s="9"/>
      <c r="H2" s="9"/>
      <c r="I2" s="9"/>
      <c r="J2" s="9"/>
      <c r="K2" s="29"/>
    </row>
    <row r="3" s="2" customFormat="1" customHeight="1" spans="1:1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646</v>
      </c>
      <c r="H3" s="12"/>
      <c r="I3" s="12" t="s">
        <v>647</v>
      </c>
      <c r="J3" s="12" t="s">
        <v>9</v>
      </c>
      <c r="K3" s="30" t="s">
        <v>10</v>
      </c>
    </row>
    <row r="4" s="2" customFormat="1" ht="21" customHeight="1" spans="1:11">
      <c r="A4" s="13"/>
      <c r="B4" s="14"/>
      <c r="C4" s="14"/>
      <c r="D4" s="14"/>
      <c r="E4" s="14"/>
      <c r="F4" s="14"/>
      <c r="G4" s="14" t="s">
        <v>648</v>
      </c>
      <c r="H4" s="14" t="s">
        <v>649</v>
      </c>
      <c r="I4" s="14"/>
      <c r="J4" s="14"/>
      <c r="K4" s="31"/>
    </row>
    <row r="5" ht="15.75" spans="1:8">
      <c r="A5" s="15" t="s">
        <v>58</v>
      </c>
      <c r="B5" s="16"/>
      <c r="C5" s="16"/>
      <c r="D5" s="16"/>
      <c r="E5" s="16"/>
      <c r="F5" s="16"/>
      <c r="G5" s="16"/>
      <c r="H5" s="16"/>
    </row>
    <row r="6" spans="1:11">
      <c r="A6" s="34" t="s">
        <v>650</v>
      </c>
      <c r="B6" s="34" t="s">
        <v>651</v>
      </c>
      <c r="C6" s="34" t="s">
        <v>652</v>
      </c>
      <c r="D6" s="34" t="str">
        <f>"0,7237"</f>
        <v>0,7237</v>
      </c>
      <c r="E6" s="34" t="s">
        <v>16</v>
      </c>
      <c r="F6" s="34" t="s">
        <v>55</v>
      </c>
      <c r="G6" s="35" t="s">
        <v>19</v>
      </c>
      <c r="H6" s="35" t="s">
        <v>653</v>
      </c>
      <c r="I6" s="40" t="str">
        <f>"2610,0"</f>
        <v>2610,0</v>
      </c>
      <c r="J6" s="41" t="str">
        <f>"1888,8570"</f>
        <v>1888,8570</v>
      </c>
      <c r="K6" s="34" t="s">
        <v>21</v>
      </c>
    </row>
    <row r="7" spans="1:11">
      <c r="A7" s="36" t="s">
        <v>654</v>
      </c>
      <c r="B7" s="36" t="s">
        <v>655</v>
      </c>
      <c r="C7" s="36" t="s">
        <v>656</v>
      </c>
      <c r="D7" s="36" t="str">
        <f>"0,7140"</f>
        <v>0,7140</v>
      </c>
      <c r="E7" s="36" t="s">
        <v>16</v>
      </c>
      <c r="F7" s="36" t="s">
        <v>152</v>
      </c>
      <c r="G7" s="37" t="s">
        <v>19</v>
      </c>
      <c r="H7" s="37" t="s">
        <v>657</v>
      </c>
      <c r="I7" s="42" t="str">
        <f>"2247,5"</f>
        <v>2247,5</v>
      </c>
      <c r="J7" s="43" t="str">
        <f>"1604,8274"</f>
        <v>1604,8274</v>
      </c>
      <c r="K7" s="36" t="s">
        <v>21</v>
      </c>
    </row>
    <row r="8" spans="1:11">
      <c r="A8" s="36" t="s">
        <v>658</v>
      </c>
      <c r="B8" s="36" t="s">
        <v>322</v>
      </c>
      <c r="C8" s="36" t="s">
        <v>69</v>
      </c>
      <c r="D8" s="36" t="str">
        <f>"0,6940"</f>
        <v>0,6940</v>
      </c>
      <c r="E8" s="36" t="s">
        <v>16</v>
      </c>
      <c r="F8" s="36" t="s">
        <v>55</v>
      </c>
      <c r="G8" s="37" t="s">
        <v>20</v>
      </c>
      <c r="H8" s="37" t="s">
        <v>659</v>
      </c>
      <c r="I8" s="42" t="str">
        <f>"1650,0"</f>
        <v>1650,0</v>
      </c>
      <c r="J8" s="43" t="str">
        <f>"1145,1000"</f>
        <v>1145,1000</v>
      </c>
      <c r="K8" s="36" t="s">
        <v>21</v>
      </c>
    </row>
    <row r="9" spans="1:11">
      <c r="A9" s="38" t="s">
        <v>324</v>
      </c>
      <c r="B9" s="38" t="s">
        <v>660</v>
      </c>
      <c r="C9" s="38" t="s">
        <v>69</v>
      </c>
      <c r="D9" s="38" t="str">
        <f>"0,6940"</f>
        <v>0,6940</v>
      </c>
      <c r="E9" s="38" t="s">
        <v>16</v>
      </c>
      <c r="F9" s="38" t="s">
        <v>55</v>
      </c>
      <c r="G9" s="39" t="s">
        <v>20</v>
      </c>
      <c r="H9" s="39" t="s">
        <v>659</v>
      </c>
      <c r="I9" s="44" t="str">
        <f>"1650,0"</f>
        <v>1650,0</v>
      </c>
      <c r="J9" s="45" t="str">
        <f>"1478,3241"</f>
        <v>1478,3241</v>
      </c>
      <c r="K9" s="38" t="s">
        <v>21</v>
      </c>
    </row>
    <row r="11" ht="15.75" spans="1:8">
      <c r="A11" s="19" t="s">
        <v>12</v>
      </c>
      <c r="B11" s="20"/>
      <c r="C11" s="20"/>
      <c r="D11" s="20"/>
      <c r="E11" s="20"/>
      <c r="F11" s="20"/>
      <c r="G11" s="20"/>
      <c r="H11" s="20"/>
    </row>
    <row r="12" spans="1:11">
      <c r="A12" s="17" t="s">
        <v>661</v>
      </c>
      <c r="B12" s="17" t="s">
        <v>662</v>
      </c>
      <c r="C12" s="17" t="s">
        <v>663</v>
      </c>
      <c r="D12" s="17" t="str">
        <f>"0,6545"</f>
        <v>0,6545</v>
      </c>
      <c r="E12" s="17" t="s">
        <v>16</v>
      </c>
      <c r="F12" s="17" t="s">
        <v>55</v>
      </c>
      <c r="G12" s="18" t="s">
        <v>457</v>
      </c>
      <c r="H12" s="18" t="s">
        <v>653</v>
      </c>
      <c r="I12" s="32" t="str">
        <f>"2970,0"</f>
        <v>2970,0</v>
      </c>
      <c r="J12" s="33" t="str">
        <f>"1943,8650"</f>
        <v>1943,8650</v>
      </c>
      <c r="K12" s="17" t="s">
        <v>21</v>
      </c>
    </row>
    <row r="14" ht="15.75" spans="1:8">
      <c r="A14" s="19" t="s">
        <v>22</v>
      </c>
      <c r="B14" s="20"/>
      <c r="C14" s="20"/>
      <c r="D14" s="20"/>
      <c r="E14" s="20"/>
      <c r="F14" s="20"/>
      <c r="G14" s="20"/>
      <c r="H14" s="20"/>
    </row>
    <row r="15" spans="1:11">
      <c r="A15" s="17" t="s">
        <v>664</v>
      </c>
      <c r="B15" s="17" t="s">
        <v>665</v>
      </c>
      <c r="C15" s="17" t="s">
        <v>666</v>
      </c>
      <c r="D15" s="17" t="str">
        <f>"0,6273"</f>
        <v>0,6273</v>
      </c>
      <c r="E15" s="17" t="s">
        <v>16</v>
      </c>
      <c r="F15" s="17" t="s">
        <v>55</v>
      </c>
      <c r="G15" s="18" t="s">
        <v>123</v>
      </c>
      <c r="H15" s="18" t="s">
        <v>659</v>
      </c>
      <c r="I15" s="32" t="str">
        <f>"1925,0"</f>
        <v>1925,0</v>
      </c>
      <c r="J15" s="33" t="str">
        <f>"1207,4563"</f>
        <v>1207,4563</v>
      </c>
      <c r="K15" s="17" t="s">
        <v>21</v>
      </c>
    </row>
    <row r="17" ht="15.75" spans="5:5">
      <c r="E17" s="21" t="s">
        <v>29</v>
      </c>
    </row>
    <row r="18" ht="15.75" spans="5:5">
      <c r="E18" s="21" t="s">
        <v>30</v>
      </c>
    </row>
    <row r="19" ht="15.75" spans="5:5">
      <c r="E19" s="21" t="s">
        <v>31</v>
      </c>
    </row>
    <row r="20" ht="15.75" spans="5:5">
      <c r="E20" s="21" t="s">
        <v>32</v>
      </c>
    </row>
    <row r="21" ht="15.75" spans="5:5">
      <c r="E21" s="21" t="s">
        <v>32</v>
      </c>
    </row>
    <row r="22" ht="15.75" spans="5:5">
      <c r="E22" s="21" t="s">
        <v>33</v>
      </c>
    </row>
    <row r="23" ht="15.75" spans="5:5">
      <c r="E23" s="21"/>
    </row>
    <row r="25" ht="18.75" spans="1:2">
      <c r="A25" s="22" t="s">
        <v>34</v>
      </c>
      <c r="B25" s="22"/>
    </row>
    <row r="26" ht="15.75" spans="1:2">
      <c r="A26" s="23" t="s">
        <v>35</v>
      </c>
      <c r="B26" s="23"/>
    </row>
    <row r="27" ht="15" spans="1:2">
      <c r="A27" s="24"/>
      <c r="B27" s="25" t="s">
        <v>36</v>
      </c>
    </row>
    <row r="28" ht="14.25" spans="1:5">
      <c r="A28" s="26" t="s">
        <v>37</v>
      </c>
      <c r="B28" s="26" t="s">
        <v>38</v>
      </c>
      <c r="C28" s="26" t="s">
        <v>39</v>
      </c>
      <c r="D28" s="26" t="s">
        <v>40</v>
      </c>
      <c r="E28" s="26" t="s">
        <v>41</v>
      </c>
    </row>
    <row r="29" spans="1:5">
      <c r="A29" s="27" t="s">
        <v>667</v>
      </c>
      <c r="B29" s="3" t="s">
        <v>36</v>
      </c>
      <c r="C29" s="3" t="s">
        <v>48</v>
      </c>
      <c r="D29" s="3" t="s">
        <v>668</v>
      </c>
      <c r="E29" s="5" t="s">
        <v>669</v>
      </c>
    </row>
    <row r="30" spans="1:5">
      <c r="A30" s="27" t="s">
        <v>670</v>
      </c>
      <c r="B30" s="3" t="s">
        <v>36</v>
      </c>
      <c r="C30" s="3" t="s">
        <v>96</v>
      </c>
      <c r="D30" s="3" t="s">
        <v>671</v>
      </c>
      <c r="E30" s="5" t="s">
        <v>672</v>
      </c>
    </row>
    <row r="31" spans="1:5">
      <c r="A31" s="27" t="s">
        <v>673</v>
      </c>
      <c r="B31" s="3" t="s">
        <v>36</v>
      </c>
      <c r="C31" s="3" t="s">
        <v>96</v>
      </c>
      <c r="D31" s="3" t="s">
        <v>674</v>
      </c>
      <c r="E31" s="5" t="s">
        <v>675</v>
      </c>
    </row>
    <row r="32" spans="1:5">
      <c r="A32" s="27" t="s">
        <v>676</v>
      </c>
      <c r="B32" s="3" t="s">
        <v>36</v>
      </c>
      <c r="C32" s="3" t="s">
        <v>43</v>
      </c>
      <c r="D32" s="3" t="s">
        <v>677</v>
      </c>
      <c r="E32" s="5" t="s">
        <v>678</v>
      </c>
    </row>
    <row r="33" spans="1:5">
      <c r="A33" s="27" t="s">
        <v>427</v>
      </c>
      <c r="B33" s="3" t="s">
        <v>36</v>
      </c>
      <c r="C33" s="3" t="s">
        <v>96</v>
      </c>
      <c r="D33" s="3" t="s">
        <v>679</v>
      </c>
      <c r="E33" s="5" t="s">
        <v>680</v>
      </c>
    </row>
    <row r="35" ht="15" spans="1:2">
      <c r="A35" s="24"/>
      <c r="B35" s="25" t="s">
        <v>45</v>
      </c>
    </row>
    <row r="36" ht="14.25" spans="1:5">
      <c r="A36" s="26" t="s">
        <v>37</v>
      </c>
      <c r="B36" s="26" t="s">
        <v>38</v>
      </c>
      <c r="C36" s="26" t="s">
        <v>39</v>
      </c>
      <c r="D36" s="26" t="s">
        <v>40</v>
      </c>
      <c r="E36" s="26" t="s">
        <v>41</v>
      </c>
    </row>
    <row r="37" spans="1:5">
      <c r="A37" s="27" t="s">
        <v>427</v>
      </c>
      <c r="B37" s="3" t="s">
        <v>681</v>
      </c>
      <c r="C37" s="3" t="s">
        <v>96</v>
      </c>
      <c r="D37" s="3" t="s">
        <v>679</v>
      </c>
      <c r="E37" s="5" t="s">
        <v>682</v>
      </c>
    </row>
  </sheetData>
  <mergeCells count="14">
    <mergeCell ref="G3:H3"/>
    <mergeCell ref="A5:H5"/>
    <mergeCell ref="A11:H11"/>
    <mergeCell ref="A14:H1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5">
    <pageSetUpPr fitToPage="1"/>
  </sheetPr>
  <dimension ref="A1:K33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5.7777777777778" style="3" customWidth="1"/>
    <col min="7" max="7" width="4.77777777777778" style="4" customWidth="1"/>
    <col min="8" max="8" width="10" style="4" customWidth="1"/>
    <col min="9" max="9" width="7.66666666666667" style="5" customWidth="1"/>
    <col min="10" max="10" width="9.55555555555556" style="1" customWidth="1"/>
    <col min="11" max="11" width="8.33333333333333" style="3" customWidth="1"/>
    <col min="12" max="16384" width="9.11111111111111" style="4"/>
  </cols>
  <sheetData>
    <row r="1" s="1" customFormat="1" ht="28.95" customHeight="1" spans="1:11">
      <c r="A1" s="6" t="s">
        <v>683</v>
      </c>
      <c r="B1" s="7"/>
      <c r="C1" s="7"/>
      <c r="D1" s="7"/>
      <c r="E1" s="7"/>
      <c r="F1" s="7"/>
      <c r="G1" s="7"/>
      <c r="H1" s="7"/>
      <c r="I1" s="7"/>
      <c r="J1" s="7"/>
      <c r="K1" s="28"/>
    </row>
    <row r="2" s="1" customFormat="1" ht="61.95" customHeight="1" spans="1:11">
      <c r="A2" s="8"/>
      <c r="B2" s="9"/>
      <c r="C2" s="9"/>
      <c r="D2" s="9"/>
      <c r="E2" s="9"/>
      <c r="F2" s="9"/>
      <c r="G2" s="9"/>
      <c r="H2" s="9"/>
      <c r="I2" s="9"/>
      <c r="J2" s="9"/>
      <c r="K2" s="29"/>
    </row>
    <row r="3" s="2" customFormat="1" customHeight="1" spans="1:1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646</v>
      </c>
      <c r="H3" s="12"/>
      <c r="I3" s="12" t="s">
        <v>647</v>
      </c>
      <c r="J3" s="12" t="s">
        <v>9</v>
      </c>
      <c r="K3" s="30" t="s">
        <v>10</v>
      </c>
    </row>
    <row r="4" s="2" customFormat="1" ht="21" customHeight="1" spans="1:11">
      <c r="A4" s="13"/>
      <c r="B4" s="14"/>
      <c r="C4" s="14"/>
      <c r="D4" s="14"/>
      <c r="E4" s="14"/>
      <c r="F4" s="14"/>
      <c r="G4" s="14" t="s">
        <v>648</v>
      </c>
      <c r="H4" s="14" t="s">
        <v>649</v>
      </c>
      <c r="I4" s="14"/>
      <c r="J4" s="14"/>
      <c r="K4" s="31"/>
    </row>
    <row r="5" ht="15.75" spans="1:8">
      <c r="A5" s="15" t="s">
        <v>452</v>
      </c>
      <c r="B5" s="16"/>
      <c r="C5" s="16"/>
      <c r="D5" s="16"/>
      <c r="E5" s="16"/>
      <c r="F5" s="16"/>
      <c r="G5" s="16"/>
      <c r="H5" s="16"/>
    </row>
    <row r="6" spans="1:11">
      <c r="A6" s="17" t="s">
        <v>684</v>
      </c>
      <c r="B6" s="17" t="s">
        <v>685</v>
      </c>
      <c r="C6" s="17" t="s">
        <v>686</v>
      </c>
      <c r="D6" s="17" t="str">
        <f>"1,3437"</f>
        <v>1,3437</v>
      </c>
      <c r="E6" s="17" t="s">
        <v>16</v>
      </c>
      <c r="F6" s="17" t="s">
        <v>55</v>
      </c>
      <c r="G6" s="18" t="s">
        <v>687</v>
      </c>
      <c r="H6" s="18" t="s">
        <v>688</v>
      </c>
      <c r="I6" s="32" t="str">
        <f>"472,5"</f>
        <v>472,5</v>
      </c>
      <c r="J6" s="33" t="str">
        <f>"634,8983"</f>
        <v>634,8983</v>
      </c>
      <c r="K6" s="17" t="s">
        <v>21</v>
      </c>
    </row>
    <row r="8" ht="15.75" spans="1:8">
      <c r="A8" s="19" t="s">
        <v>58</v>
      </c>
      <c r="B8" s="20"/>
      <c r="C8" s="20"/>
      <c r="D8" s="20"/>
      <c r="E8" s="20"/>
      <c r="F8" s="20"/>
      <c r="G8" s="20"/>
      <c r="H8" s="20"/>
    </row>
    <row r="9" spans="1:11">
      <c r="A9" s="17" t="s">
        <v>520</v>
      </c>
      <c r="B9" s="17" t="s">
        <v>521</v>
      </c>
      <c r="C9" s="17" t="s">
        <v>65</v>
      </c>
      <c r="D9" s="17" t="str">
        <f>"0,6899"</f>
        <v>0,6899</v>
      </c>
      <c r="E9" s="17" t="s">
        <v>16</v>
      </c>
      <c r="F9" s="17" t="s">
        <v>55</v>
      </c>
      <c r="G9" s="18" t="s">
        <v>20</v>
      </c>
      <c r="H9" s="18" t="s">
        <v>688</v>
      </c>
      <c r="I9" s="32" t="str">
        <f>"1575,0"</f>
        <v>1575,0</v>
      </c>
      <c r="J9" s="33" t="str">
        <f>"1086,5925"</f>
        <v>1086,5925</v>
      </c>
      <c r="K9" s="17" t="s">
        <v>21</v>
      </c>
    </row>
    <row r="11" ht="15.75" spans="1:8">
      <c r="A11" s="19" t="s">
        <v>77</v>
      </c>
      <c r="B11" s="20"/>
      <c r="C11" s="20"/>
      <c r="D11" s="20"/>
      <c r="E11" s="20"/>
      <c r="F11" s="20"/>
      <c r="G11" s="20"/>
      <c r="H11" s="20"/>
    </row>
    <row r="12" spans="1:11">
      <c r="A12" s="17" t="s">
        <v>689</v>
      </c>
      <c r="B12" s="17" t="s">
        <v>690</v>
      </c>
      <c r="C12" s="17" t="s">
        <v>691</v>
      </c>
      <c r="D12" s="17" t="str">
        <f>"0,5891"</f>
        <v>0,5891</v>
      </c>
      <c r="E12" s="17" t="s">
        <v>16</v>
      </c>
      <c r="F12" s="17" t="s">
        <v>692</v>
      </c>
      <c r="G12" s="18" t="s">
        <v>693</v>
      </c>
      <c r="H12" s="18" t="s">
        <v>85</v>
      </c>
      <c r="I12" s="32" t="str">
        <f>"3900,0"</f>
        <v>3900,0</v>
      </c>
      <c r="J12" s="33" t="str">
        <f>"2297,4900"</f>
        <v>2297,4900</v>
      </c>
      <c r="K12" s="17" t="s">
        <v>21</v>
      </c>
    </row>
    <row r="14" ht="15.75" spans="5:5">
      <c r="E14" s="21" t="s">
        <v>29</v>
      </c>
    </row>
    <row r="15" ht="15.75" spans="5:5">
      <c r="E15" s="21" t="s">
        <v>30</v>
      </c>
    </row>
    <row r="16" ht="15.75" spans="5:5">
      <c r="E16" s="21" t="s">
        <v>31</v>
      </c>
    </row>
    <row r="17" ht="15.75" spans="5:5">
      <c r="E17" s="21" t="s">
        <v>32</v>
      </c>
    </row>
    <row r="18" ht="15.75" spans="5:5">
      <c r="E18" s="21" t="s">
        <v>32</v>
      </c>
    </row>
    <row r="19" ht="15.75" spans="5:5">
      <c r="E19" s="21" t="s">
        <v>33</v>
      </c>
    </row>
    <row r="20" ht="15.75" spans="5:5">
      <c r="E20" s="21"/>
    </row>
    <row r="22" ht="18.75" spans="1:2">
      <c r="A22" s="22" t="s">
        <v>34</v>
      </c>
      <c r="B22" s="22"/>
    </row>
    <row r="23" ht="15.75" spans="1:2">
      <c r="A23" s="23" t="s">
        <v>175</v>
      </c>
      <c r="B23" s="23"/>
    </row>
    <row r="24" ht="15" spans="1:2">
      <c r="A24" s="24"/>
      <c r="B24" s="25" t="s">
        <v>36</v>
      </c>
    </row>
    <row r="25" ht="14.25" spans="1:5">
      <c r="A25" s="26" t="s">
        <v>37</v>
      </c>
      <c r="B25" s="26" t="s">
        <v>38</v>
      </c>
      <c r="C25" s="26" t="s">
        <v>39</v>
      </c>
      <c r="D25" s="26" t="s">
        <v>40</v>
      </c>
      <c r="E25" s="26" t="s">
        <v>41</v>
      </c>
    </row>
    <row r="26" spans="1:5">
      <c r="A26" s="27" t="s">
        <v>694</v>
      </c>
      <c r="B26" s="3" t="s">
        <v>36</v>
      </c>
      <c r="C26" s="3" t="s">
        <v>469</v>
      </c>
      <c r="D26" s="3" t="s">
        <v>577</v>
      </c>
      <c r="E26" s="5" t="s">
        <v>695</v>
      </c>
    </row>
    <row r="29" ht="15.75" spans="1:2">
      <c r="A29" s="23" t="s">
        <v>35</v>
      </c>
      <c r="B29" s="23"/>
    </row>
    <row r="30" ht="15" spans="1:2">
      <c r="A30" s="24"/>
      <c r="B30" s="25" t="s">
        <v>36</v>
      </c>
    </row>
    <row r="31" ht="14.25" spans="1:5">
      <c r="A31" s="26" t="s">
        <v>37</v>
      </c>
      <c r="B31" s="26" t="s">
        <v>38</v>
      </c>
      <c r="C31" s="26" t="s">
        <v>39</v>
      </c>
      <c r="D31" s="26" t="s">
        <v>40</v>
      </c>
      <c r="E31" s="26" t="s">
        <v>41</v>
      </c>
    </row>
    <row r="32" spans="1:5">
      <c r="A32" s="27" t="s">
        <v>696</v>
      </c>
      <c r="B32" s="3" t="s">
        <v>36</v>
      </c>
      <c r="C32" s="3" t="s">
        <v>104</v>
      </c>
      <c r="D32" s="3" t="s">
        <v>697</v>
      </c>
      <c r="E32" s="5" t="s">
        <v>698</v>
      </c>
    </row>
    <row r="33" spans="1:5">
      <c r="A33" s="27" t="s">
        <v>542</v>
      </c>
      <c r="B33" s="3" t="s">
        <v>36</v>
      </c>
      <c r="C33" s="3" t="s">
        <v>96</v>
      </c>
      <c r="D33" s="3" t="s">
        <v>699</v>
      </c>
      <c r="E33" s="5" t="s">
        <v>700</v>
      </c>
    </row>
  </sheetData>
  <mergeCells count="14">
    <mergeCell ref="G3:H3"/>
    <mergeCell ref="A5:H5"/>
    <mergeCell ref="A8:H8"/>
    <mergeCell ref="A11:H11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A1:K2"/>
  </mergeCells>
  <pageMargins left="0.196850393700787" right="0.47244094488189" top="0.433070866141732" bottom="0.47244094488189" header="0.511811023622047" footer="0.511811023622047"/>
  <pageSetup paperSize="1" scale="58" fitToHeight="100" orientation="landscape" horizontalDpi="300" verticalDpi="300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7.7777777777778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51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52</v>
      </c>
      <c r="B6" s="17" t="s">
        <v>53</v>
      </c>
      <c r="C6" s="17" t="s">
        <v>54</v>
      </c>
      <c r="D6" s="17" t="str">
        <f>"0,7590"</f>
        <v>0,7590</v>
      </c>
      <c r="E6" s="17" t="s">
        <v>16</v>
      </c>
      <c r="F6" s="17" t="s">
        <v>55</v>
      </c>
      <c r="G6" s="18" t="s">
        <v>56</v>
      </c>
      <c r="H6" s="18" t="s">
        <v>57</v>
      </c>
      <c r="I6" s="18" t="s">
        <v>28</v>
      </c>
      <c r="J6" s="46"/>
      <c r="K6" s="32" t="str">
        <f>"55,0"</f>
        <v>55,0</v>
      </c>
      <c r="L6" s="33" t="str">
        <f>"41,7450"</f>
        <v>41,7450</v>
      </c>
      <c r="M6" s="17" t="s">
        <v>21</v>
      </c>
    </row>
    <row r="8" ht="15.75" spans="1:10">
      <c r="A8" s="19" t="s">
        <v>58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34" t="s">
        <v>59</v>
      </c>
      <c r="B9" s="34" t="s">
        <v>60</v>
      </c>
      <c r="C9" s="34" t="s">
        <v>61</v>
      </c>
      <c r="D9" s="34" t="str">
        <f>"0,6955"</f>
        <v>0,6955</v>
      </c>
      <c r="E9" s="34" t="s">
        <v>16</v>
      </c>
      <c r="F9" s="34" t="s">
        <v>55</v>
      </c>
      <c r="G9" s="35" t="s">
        <v>62</v>
      </c>
      <c r="H9" s="35" t="s">
        <v>56</v>
      </c>
      <c r="I9" s="35" t="s">
        <v>28</v>
      </c>
      <c r="J9" s="47"/>
      <c r="K9" s="40" t="str">
        <f>"55,0"</f>
        <v>55,0</v>
      </c>
      <c r="L9" s="41" t="str">
        <f>"38,2498"</f>
        <v>38,2498</v>
      </c>
      <c r="M9" s="34" t="s">
        <v>21</v>
      </c>
    </row>
    <row r="10" spans="1:13">
      <c r="A10" s="36" t="s">
        <v>63</v>
      </c>
      <c r="B10" s="36" t="s">
        <v>64</v>
      </c>
      <c r="C10" s="36" t="s">
        <v>65</v>
      </c>
      <c r="D10" s="36" t="str">
        <f>"0,6899"</f>
        <v>0,6899</v>
      </c>
      <c r="E10" s="36" t="s">
        <v>16</v>
      </c>
      <c r="F10" s="36" t="s">
        <v>66</v>
      </c>
      <c r="G10" s="37" t="s">
        <v>62</v>
      </c>
      <c r="H10" s="37" t="s">
        <v>56</v>
      </c>
      <c r="I10" s="50" t="s">
        <v>57</v>
      </c>
      <c r="J10" s="50"/>
      <c r="K10" s="42" t="str">
        <f>"50,0"</f>
        <v>50,0</v>
      </c>
      <c r="L10" s="43" t="str">
        <f>"34,4950"</f>
        <v>34,4950</v>
      </c>
      <c r="M10" s="36" t="s">
        <v>21</v>
      </c>
    </row>
    <row r="11" spans="1:13">
      <c r="A11" s="38" t="s">
        <v>67</v>
      </c>
      <c r="B11" s="38" t="s">
        <v>68</v>
      </c>
      <c r="C11" s="38" t="s">
        <v>69</v>
      </c>
      <c r="D11" s="38" t="str">
        <f>"0,6940"</f>
        <v>0,6940</v>
      </c>
      <c r="E11" s="38" t="s">
        <v>16</v>
      </c>
      <c r="F11" s="38" t="s">
        <v>55</v>
      </c>
      <c r="G11" s="39" t="s">
        <v>57</v>
      </c>
      <c r="H11" s="39" t="s">
        <v>28</v>
      </c>
      <c r="I11" s="39" t="s">
        <v>70</v>
      </c>
      <c r="J11" s="48"/>
      <c r="K11" s="44" t="str">
        <f>"57,5"</f>
        <v>57,5</v>
      </c>
      <c r="L11" s="45" t="str">
        <f>"41,1421"</f>
        <v>41,1421</v>
      </c>
      <c r="M11" s="38" t="s">
        <v>21</v>
      </c>
    </row>
    <row r="13" ht="15.75" spans="1:10">
      <c r="A13" s="19" t="s">
        <v>12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3">
      <c r="A14" s="34" t="s">
        <v>71</v>
      </c>
      <c r="B14" s="34" t="s">
        <v>72</v>
      </c>
      <c r="C14" s="34" t="s">
        <v>73</v>
      </c>
      <c r="D14" s="34" t="str">
        <f>"0,6618"</f>
        <v>0,6618</v>
      </c>
      <c r="E14" s="34" t="s">
        <v>16</v>
      </c>
      <c r="F14" s="34" t="s">
        <v>74</v>
      </c>
      <c r="G14" s="35" t="s">
        <v>75</v>
      </c>
      <c r="H14" s="35" t="s">
        <v>62</v>
      </c>
      <c r="I14" s="47" t="s">
        <v>57</v>
      </c>
      <c r="J14" s="47"/>
      <c r="K14" s="40" t="str">
        <f>"45,0"</f>
        <v>45,0</v>
      </c>
      <c r="L14" s="41" t="str">
        <f>"29,7788"</f>
        <v>29,7788</v>
      </c>
      <c r="M14" s="34" t="s">
        <v>21</v>
      </c>
    </row>
    <row r="15" spans="1:13">
      <c r="A15" s="38" t="s">
        <v>71</v>
      </c>
      <c r="B15" s="38" t="s">
        <v>76</v>
      </c>
      <c r="C15" s="38" t="s">
        <v>73</v>
      </c>
      <c r="D15" s="38" t="str">
        <f>"0,6618"</f>
        <v>0,6618</v>
      </c>
      <c r="E15" s="38" t="s">
        <v>16</v>
      </c>
      <c r="F15" s="38" t="s">
        <v>74</v>
      </c>
      <c r="G15" s="39" t="s">
        <v>75</v>
      </c>
      <c r="H15" s="39" t="s">
        <v>62</v>
      </c>
      <c r="I15" s="48" t="s">
        <v>57</v>
      </c>
      <c r="J15" s="48"/>
      <c r="K15" s="44" t="str">
        <f>"45,0"</f>
        <v>45,0</v>
      </c>
      <c r="L15" s="45" t="str">
        <f>"29,7788"</f>
        <v>29,7788</v>
      </c>
      <c r="M15" s="38" t="s">
        <v>21</v>
      </c>
    </row>
    <row r="17" ht="15.75" spans="1:10">
      <c r="A17" s="19" t="s">
        <v>77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3">
      <c r="A18" s="34" t="s">
        <v>78</v>
      </c>
      <c r="B18" s="34" t="s">
        <v>79</v>
      </c>
      <c r="C18" s="34" t="s">
        <v>80</v>
      </c>
      <c r="D18" s="34" t="str">
        <f>"0,5843"</f>
        <v>0,5843</v>
      </c>
      <c r="E18" s="34" t="s">
        <v>16</v>
      </c>
      <c r="F18" s="34" t="s">
        <v>55</v>
      </c>
      <c r="G18" s="35" t="s">
        <v>57</v>
      </c>
      <c r="H18" s="47" t="s">
        <v>81</v>
      </c>
      <c r="I18" s="47" t="s">
        <v>81</v>
      </c>
      <c r="J18" s="47"/>
      <c r="K18" s="40" t="str">
        <f>"52,5"</f>
        <v>52,5</v>
      </c>
      <c r="L18" s="41" t="str">
        <f>"30,6757"</f>
        <v>30,6757</v>
      </c>
      <c r="M18" s="34" t="s">
        <v>21</v>
      </c>
    </row>
    <row r="19" spans="1:13">
      <c r="A19" s="36" t="s">
        <v>82</v>
      </c>
      <c r="B19" s="36" t="s">
        <v>83</v>
      </c>
      <c r="C19" s="36" t="s">
        <v>84</v>
      </c>
      <c r="D19" s="36" t="str">
        <f>"0,5958"</f>
        <v>0,5958</v>
      </c>
      <c r="E19" s="36" t="s">
        <v>16</v>
      </c>
      <c r="F19" s="36" t="s">
        <v>55</v>
      </c>
      <c r="G19" s="37" t="s">
        <v>85</v>
      </c>
      <c r="H19" s="50" t="s">
        <v>62</v>
      </c>
      <c r="I19" s="37" t="s">
        <v>62</v>
      </c>
      <c r="J19" s="50"/>
      <c r="K19" s="42" t="str">
        <f>"45,0"</f>
        <v>45,0</v>
      </c>
      <c r="L19" s="43" t="str">
        <f>"26,8132"</f>
        <v>26,8132</v>
      </c>
      <c r="M19" s="36" t="s">
        <v>21</v>
      </c>
    </row>
    <row r="20" spans="1:13">
      <c r="A20" s="38" t="s">
        <v>82</v>
      </c>
      <c r="B20" s="38" t="s">
        <v>86</v>
      </c>
      <c r="C20" s="38" t="s">
        <v>84</v>
      </c>
      <c r="D20" s="38" t="str">
        <f>"0,5958"</f>
        <v>0,5958</v>
      </c>
      <c r="E20" s="38" t="s">
        <v>16</v>
      </c>
      <c r="F20" s="38" t="s">
        <v>55</v>
      </c>
      <c r="G20" s="39" t="s">
        <v>85</v>
      </c>
      <c r="H20" s="48" t="s">
        <v>62</v>
      </c>
      <c r="I20" s="39" t="s">
        <v>62</v>
      </c>
      <c r="J20" s="48"/>
      <c r="K20" s="44" t="str">
        <f>"45,0"</f>
        <v>45,0</v>
      </c>
      <c r="L20" s="45" t="str">
        <f>"27,9662"</f>
        <v>27,9662</v>
      </c>
      <c r="M20" s="38" t="s">
        <v>21</v>
      </c>
    </row>
    <row r="22" ht="15.75" spans="1:10">
      <c r="A22" s="19" t="s">
        <v>87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3">
      <c r="A23" s="17" t="s">
        <v>88</v>
      </c>
      <c r="B23" s="17" t="s">
        <v>89</v>
      </c>
      <c r="C23" s="17" t="s">
        <v>90</v>
      </c>
      <c r="D23" s="17" t="str">
        <f>"0,5742"</f>
        <v>0,5742</v>
      </c>
      <c r="E23" s="17" t="s">
        <v>16</v>
      </c>
      <c r="F23" s="17" t="s">
        <v>91</v>
      </c>
      <c r="G23" s="46" t="s">
        <v>92</v>
      </c>
      <c r="H23" s="46" t="s">
        <v>19</v>
      </c>
      <c r="I23" s="46" t="s">
        <v>19</v>
      </c>
      <c r="J23" s="46"/>
      <c r="K23" s="32" t="str">
        <f>"0.00"</f>
        <v>0.00</v>
      </c>
      <c r="L23" s="33" t="str">
        <f>"0,0000"</f>
        <v>0,0000</v>
      </c>
      <c r="M23" s="17" t="s">
        <v>21</v>
      </c>
    </row>
    <row r="25" ht="15.75" spans="5:5">
      <c r="E25" s="21" t="s">
        <v>29</v>
      </c>
    </row>
    <row r="26" ht="15.75" spans="5:5">
      <c r="E26" s="21" t="s">
        <v>30</v>
      </c>
    </row>
    <row r="27" ht="15.75" spans="5:5">
      <c r="E27" s="21" t="s">
        <v>31</v>
      </c>
    </row>
    <row r="28" ht="15.75" spans="5:5">
      <c r="E28" s="21" t="s">
        <v>32</v>
      </c>
    </row>
    <row r="29" ht="15.75" spans="5:5">
      <c r="E29" s="21" t="s">
        <v>32</v>
      </c>
    </row>
    <row r="30" ht="15.75" spans="5:5">
      <c r="E30" s="21" t="s">
        <v>33</v>
      </c>
    </row>
    <row r="31" ht="15.75" spans="5:5">
      <c r="E31" s="21"/>
    </row>
    <row r="33" ht="18.75" spans="1:2">
      <c r="A33" s="22" t="s">
        <v>34</v>
      </c>
      <c r="B33" s="22"/>
    </row>
    <row r="34" ht="15.75" spans="1:2">
      <c r="A34" s="23" t="s">
        <v>35</v>
      </c>
      <c r="B34" s="23"/>
    </row>
    <row r="35" ht="15" spans="1:2">
      <c r="A35" s="24"/>
      <c r="B35" s="25" t="s">
        <v>93</v>
      </c>
    </row>
    <row r="36" ht="14.25" spans="1:5">
      <c r="A36" s="26" t="s">
        <v>37</v>
      </c>
      <c r="B36" s="26" t="s">
        <v>38</v>
      </c>
      <c r="C36" s="26" t="s">
        <v>39</v>
      </c>
      <c r="D36" s="26" t="s">
        <v>40</v>
      </c>
      <c r="E36" s="26" t="s">
        <v>41</v>
      </c>
    </row>
    <row r="37" spans="1:5">
      <c r="A37" s="27" t="s">
        <v>94</v>
      </c>
      <c r="B37" s="3" t="s">
        <v>95</v>
      </c>
      <c r="C37" s="3" t="s">
        <v>96</v>
      </c>
      <c r="D37" s="3" t="s">
        <v>28</v>
      </c>
      <c r="E37" s="5" t="s">
        <v>97</v>
      </c>
    </row>
    <row r="38" spans="1:5">
      <c r="A38" s="27" t="s">
        <v>98</v>
      </c>
      <c r="B38" s="3" t="s">
        <v>99</v>
      </c>
      <c r="C38" s="3" t="s">
        <v>48</v>
      </c>
      <c r="D38" s="3" t="s">
        <v>62</v>
      </c>
      <c r="E38" s="5" t="s">
        <v>100</v>
      </c>
    </row>
    <row r="40" ht="15" spans="1:2">
      <c r="A40" s="24"/>
      <c r="B40" s="25" t="s">
        <v>101</v>
      </c>
    </row>
    <row r="41" ht="14.25" spans="1:5">
      <c r="A41" s="26" t="s">
        <v>37</v>
      </c>
      <c r="B41" s="26" t="s">
        <v>38</v>
      </c>
      <c r="C41" s="26" t="s">
        <v>39</v>
      </c>
      <c r="D41" s="26" t="s">
        <v>40</v>
      </c>
      <c r="E41" s="26" t="s">
        <v>41</v>
      </c>
    </row>
    <row r="42" spans="1:5">
      <c r="A42" s="27" t="s">
        <v>102</v>
      </c>
      <c r="B42" s="3" t="s">
        <v>103</v>
      </c>
      <c r="C42" s="3" t="s">
        <v>104</v>
      </c>
      <c r="D42" s="3" t="s">
        <v>57</v>
      </c>
      <c r="E42" s="5" t="s">
        <v>105</v>
      </c>
    </row>
    <row r="44" ht="15" spans="1:2">
      <c r="A44" s="24"/>
      <c r="B44" s="25" t="s">
        <v>36</v>
      </c>
    </row>
    <row r="45" ht="14.25" spans="1:5">
      <c r="A45" s="26" t="s">
        <v>37</v>
      </c>
      <c r="B45" s="26" t="s">
        <v>38</v>
      </c>
      <c r="C45" s="26" t="s">
        <v>39</v>
      </c>
      <c r="D45" s="26" t="s">
        <v>40</v>
      </c>
      <c r="E45" s="26" t="s">
        <v>41</v>
      </c>
    </row>
    <row r="46" spans="1:5">
      <c r="A46" s="27" t="s">
        <v>106</v>
      </c>
      <c r="B46" s="3" t="s">
        <v>36</v>
      </c>
      <c r="C46" s="3" t="s">
        <v>107</v>
      </c>
      <c r="D46" s="3" t="s">
        <v>28</v>
      </c>
      <c r="E46" s="5" t="s">
        <v>108</v>
      </c>
    </row>
    <row r="47" spans="1:5">
      <c r="A47" s="27" t="s">
        <v>109</v>
      </c>
      <c r="B47" s="3" t="s">
        <v>36</v>
      </c>
      <c r="C47" s="3" t="s">
        <v>96</v>
      </c>
      <c r="D47" s="3" t="s">
        <v>56</v>
      </c>
      <c r="E47" s="5" t="s">
        <v>110</v>
      </c>
    </row>
    <row r="48" spans="1:5">
      <c r="A48" s="27" t="s">
        <v>98</v>
      </c>
      <c r="B48" s="3" t="s">
        <v>36</v>
      </c>
      <c r="C48" s="3" t="s">
        <v>48</v>
      </c>
      <c r="D48" s="3" t="s">
        <v>62</v>
      </c>
      <c r="E48" s="5" t="s">
        <v>100</v>
      </c>
    </row>
    <row r="49" spans="1:5">
      <c r="A49" s="27" t="s">
        <v>111</v>
      </c>
      <c r="B49" s="3" t="s">
        <v>36</v>
      </c>
      <c r="C49" s="3" t="s">
        <v>104</v>
      </c>
      <c r="D49" s="3" t="s">
        <v>62</v>
      </c>
      <c r="E49" s="5" t="s">
        <v>112</v>
      </c>
    </row>
    <row r="51" ht="15" spans="1:2">
      <c r="A51" s="24"/>
      <c r="B51" s="25" t="s">
        <v>45</v>
      </c>
    </row>
    <row r="52" ht="14.25" spans="1:5">
      <c r="A52" s="26" t="s">
        <v>37</v>
      </c>
      <c r="B52" s="26" t="s">
        <v>38</v>
      </c>
      <c r="C52" s="26" t="s">
        <v>39</v>
      </c>
      <c r="D52" s="26" t="s">
        <v>40</v>
      </c>
      <c r="E52" s="26" t="s">
        <v>41</v>
      </c>
    </row>
    <row r="53" spans="1:5">
      <c r="A53" s="27" t="s">
        <v>113</v>
      </c>
      <c r="B53" s="3" t="s">
        <v>47</v>
      </c>
      <c r="C53" s="3" t="s">
        <v>96</v>
      </c>
      <c r="D53" s="3" t="s">
        <v>70</v>
      </c>
      <c r="E53" s="5" t="s">
        <v>114</v>
      </c>
    </row>
    <row r="54" spans="1:5">
      <c r="A54" s="27" t="s">
        <v>111</v>
      </c>
      <c r="B54" s="3" t="s">
        <v>47</v>
      </c>
      <c r="C54" s="3" t="s">
        <v>104</v>
      </c>
      <c r="D54" s="3" t="s">
        <v>62</v>
      </c>
      <c r="E54" s="5" t="s">
        <v>115</v>
      </c>
    </row>
  </sheetData>
  <mergeCells count="16">
    <mergeCell ref="G3:J3"/>
    <mergeCell ref="A5:J5"/>
    <mergeCell ref="A8:J8"/>
    <mergeCell ref="A13:J13"/>
    <mergeCell ref="A17:J17"/>
    <mergeCell ref="A22:J22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6.4444444444444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117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118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119</v>
      </c>
      <c r="B6" s="17" t="s">
        <v>120</v>
      </c>
      <c r="C6" s="17" t="s">
        <v>121</v>
      </c>
      <c r="D6" s="17" t="str">
        <f>"1,1282"</f>
        <v>1,1282</v>
      </c>
      <c r="E6" s="17" t="s">
        <v>16</v>
      </c>
      <c r="F6" s="17" t="s">
        <v>55</v>
      </c>
      <c r="G6" s="18" t="s">
        <v>122</v>
      </c>
      <c r="H6" s="18" t="s">
        <v>123</v>
      </c>
      <c r="I6" s="46" t="s">
        <v>124</v>
      </c>
      <c r="J6" s="46"/>
      <c r="K6" s="32" t="str">
        <f>"87,5"</f>
        <v>87,5</v>
      </c>
      <c r="L6" s="33" t="str">
        <f>"98,7175"</f>
        <v>98,7175</v>
      </c>
      <c r="M6" s="17" t="s">
        <v>21</v>
      </c>
    </row>
    <row r="8" ht="15.75" spans="1:10">
      <c r="A8" s="19" t="s">
        <v>51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125</v>
      </c>
      <c r="B9" s="17" t="s">
        <v>126</v>
      </c>
      <c r="C9" s="17" t="s">
        <v>127</v>
      </c>
      <c r="D9" s="17" t="str">
        <f>"0,9695"</f>
        <v>0,9695</v>
      </c>
      <c r="E9" s="17" t="s">
        <v>16</v>
      </c>
      <c r="F9" s="17" t="s">
        <v>55</v>
      </c>
      <c r="G9" s="18" t="s">
        <v>128</v>
      </c>
      <c r="H9" s="18" t="s">
        <v>129</v>
      </c>
      <c r="I9" s="18" t="s">
        <v>130</v>
      </c>
      <c r="J9" s="46"/>
      <c r="K9" s="32" t="str">
        <f>"135,0"</f>
        <v>135,0</v>
      </c>
      <c r="L9" s="33" t="str">
        <f>"130,8825"</f>
        <v>130,8825</v>
      </c>
      <c r="M9" s="17" t="s">
        <v>21</v>
      </c>
    </row>
    <row r="11" ht="15.75" spans="1:10">
      <c r="A11" s="19" t="s">
        <v>58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3">
      <c r="A12" s="34" t="s">
        <v>131</v>
      </c>
      <c r="B12" s="34" t="s">
        <v>132</v>
      </c>
      <c r="C12" s="34" t="s">
        <v>133</v>
      </c>
      <c r="D12" s="34" t="str">
        <f>"0,6927"</f>
        <v>0,6927</v>
      </c>
      <c r="E12" s="34" t="s">
        <v>16</v>
      </c>
      <c r="F12" s="34" t="s">
        <v>55</v>
      </c>
      <c r="G12" s="47" t="s">
        <v>134</v>
      </c>
      <c r="H12" s="35" t="s">
        <v>135</v>
      </c>
      <c r="I12" s="35" t="s">
        <v>136</v>
      </c>
      <c r="J12" s="47"/>
      <c r="K12" s="40" t="str">
        <f>"212,5"</f>
        <v>212,5</v>
      </c>
      <c r="L12" s="41" t="str">
        <f>"147,1881"</f>
        <v>147,1881</v>
      </c>
      <c r="M12" s="34" t="s">
        <v>21</v>
      </c>
    </row>
    <row r="13" spans="1:13">
      <c r="A13" s="36" t="s">
        <v>137</v>
      </c>
      <c r="B13" s="36" t="s">
        <v>138</v>
      </c>
      <c r="C13" s="36" t="s">
        <v>139</v>
      </c>
      <c r="D13" s="36" t="str">
        <f>"0,7071"</f>
        <v>0,7071</v>
      </c>
      <c r="E13" s="36" t="s">
        <v>16</v>
      </c>
      <c r="F13" s="36" t="s">
        <v>140</v>
      </c>
      <c r="G13" s="37" t="s">
        <v>141</v>
      </c>
      <c r="H13" s="37" t="s">
        <v>135</v>
      </c>
      <c r="I13" s="37" t="s">
        <v>142</v>
      </c>
      <c r="J13" s="50"/>
      <c r="K13" s="42" t="str">
        <f>"210,0"</f>
        <v>210,0</v>
      </c>
      <c r="L13" s="43" t="str">
        <f>"148,4910"</f>
        <v>148,4910</v>
      </c>
      <c r="M13" s="36" t="s">
        <v>21</v>
      </c>
    </row>
    <row r="14" spans="1:13">
      <c r="A14" s="38" t="s">
        <v>143</v>
      </c>
      <c r="B14" s="38" t="s">
        <v>144</v>
      </c>
      <c r="C14" s="38" t="s">
        <v>145</v>
      </c>
      <c r="D14" s="38" t="str">
        <f>"0,6998"</f>
        <v>0,6998</v>
      </c>
      <c r="E14" s="38" t="s">
        <v>16</v>
      </c>
      <c r="F14" s="38" t="s">
        <v>55</v>
      </c>
      <c r="G14" s="48" t="s">
        <v>146</v>
      </c>
      <c r="H14" s="39" t="s">
        <v>147</v>
      </c>
      <c r="I14" s="39" t="s">
        <v>148</v>
      </c>
      <c r="J14" s="48"/>
      <c r="K14" s="44" t="str">
        <f>"185,0"</f>
        <v>185,0</v>
      </c>
      <c r="L14" s="45" t="str">
        <f>"129,4538"</f>
        <v>129,4538</v>
      </c>
      <c r="M14" s="38" t="s">
        <v>21</v>
      </c>
    </row>
    <row r="16" ht="15.75" spans="1:10">
      <c r="A16" s="19" t="s">
        <v>12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3">
      <c r="A17" s="34" t="s">
        <v>149</v>
      </c>
      <c r="B17" s="34" t="s">
        <v>150</v>
      </c>
      <c r="C17" s="34" t="s">
        <v>151</v>
      </c>
      <c r="D17" s="34" t="str">
        <f>"0,6492"</f>
        <v>0,6492</v>
      </c>
      <c r="E17" s="34" t="s">
        <v>16</v>
      </c>
      <c r="F17" s="34" t="s">
        <v>152</v>
      </c>
      <c r="G17" s="35" t="s">
        <v>153</v>
      </c>
      <c r="H17" s="35" t="s">
        <v>154</v>
      </c>
      <c r="I17" s="35" t="s">
        <v>155</v>
      </c>
      <c r="J17" s="47"/>
      <c r="K17" s="40" t="str">
        <f>"165,0"</f>
        <v>165,0</v>
      </c>
      <c r="L17" s="41" t="str">
        <f>"107,1262"</f>
        <v>107,1262</v>
      </c>
      <c r="M17" s="34" t="s">
        <v>21</v>
      </c>
    </row>
    <row r="18" spans="1:13">
      <c r="A18" s="38" t="s">
        <v>156</v>
      </c>
      <c r="B18" s="38" t="s">
        <v>157</v>
      </c>
      <c r="C18" s="38" t="s">
        <v>158</v>
      </c>
      <c r="D18" s="38" t="str">
        <f>"0,6557"</f>
        <v>0,6557</v>
      </c>
      <c r="E18" s="38" t="s">
        <v>16</v>
      </c>
      <c r="F18" s="38" t="s">
        <v>55</v>
      </c>
      <c r="G18" s="39" t="s">
        <v>148</v>
      </c>
      <c r="H18" s="39" t="s">
        <v>141</v>
      </c>
      <c r="I18" s="48" t="s">
        <v>159</v>
      </c>
      <c r="J18" s="48"/>
      <c r="K18" s="44" t="str">
        <f>"190,0"</f>
        <v>190,0</v>
      </c>
      <c r="L18" s="45" t="str">
        <f>"124,5735"</f>
        <v>124,5735</v>
      </c>
      <c r="M18" s="38" t="s">
        <v>21</v>
      </c>
    </row>
    <row r="20" ht="15.75" spans="1:10">
      <c r="A20" s="19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3">
      <c r="A21" s="34" t="s">
        <v>160</v>
      </c>
      <c r="B21" s="34" t="s">
        <v>161</v>
      </c>
      <c r="C21" s="34" t="s">
        <v>162</v>
      </c>
      <c r="D21" s="34" t="str">
        <f>"0,5977"</f>
        <v>0,5977</v>
      </c>
      <c r="E21" s="34" t="s">
        <v>16</v>
      </c>
      <c r="F21" s="34" t="s">
        <v>55</v>
      </c>
      <c r="G21" s="35" t="s">
        <v>147</v>
      </c>
      <c r="H21" s="35" t="s">
        <v>163</v>
      </c>
      <c r="I21" s="35" t="s">
        <v>164</v>
      </c>
      <c r="J21" s="47"/>
      <c r="K21" s="40" t="str">
        <f>"215,0"</f>
        <v>215,0</v>
      </c>
      <c r="L21" s="41" t="str">
        <f>"128,5055"</f>
        <v>128,5055</v>
      </c>
      <c r="M21" s="34" t="s">
        <v>21</v>
      </c>
    </row>
    <row r="22" spans="1:13">
      <c r="A22" s="38" t="s">
        <v>165</v>
      </c>
      <c r="B22" s="38" t="s">
        <v>166</v>
      </c>
      <c r="C22" s="38" t="s">
        <v>167</v>
      </c>
      <c r="D22" s="38" t="str">
        <f>"0,5917"</f>
        <v>0,5917</v>
      </c>
      <c r="E22" s="38" t="s">
        <v>16</v>
      </c>
      <c r="F22" s="38" t="s">
        <v>66</v>
      </c>
      <c r="G22" s="48" t="s">
        <v>168</v>
      </c>
      <c r="H22" s="39" t="s">
        <v>168</v>
      </c>
      <c r="I22" s="39" t="s">
        <v>169</v>
      </c>
      <c r="J22" s="48"/>
      <c r="K22" s="44" t="str">
        <f>"232,5"</f>
        <v>232,5</v>
      </c>
      <c r="L22" s="45" t="str">
        <f>"137,5586"</f>
        <v>137,5586</v>
      </c>
      <c r="M22" s="38" t="s">
        <v>21</v>
      </c>
    </row>
    <row r="24" ht="15.75" spans="1:10">
      <c r="A24" s="19" t="s">
        <v>170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3">
      <c r="A25" s="17" t="s">
        <v>171</v>
      </c>
      <c r="B25" s="17" t="s">
        <v>172</v>
      </c>
      <c r="C25" s="17" t="s">
        <v>173</v>
      </c>
      <c r="D25" s="17" t="str">
        <f>"0,5519"</f>
        <v>0,5519</v>
      </c>
      <c r="E25" s="17" t="s">
        <v>16</v>
      </c>
      <c r="F25" s="17" t="s">
        <v>55</v>
      </c>
      <c r="G25" s="18" t="s">
        <v>147</v>
      </c>
      <c r="H25" s="18" t="s">
        <v>164</v>
      </c>
      <c r="I25" s="46" t="s">
        <v>174</v>
      </c>
      <c r="J25" s="46"/>
      <c r="K25" s="32" t="str">
        <f>"215,0"</f>
        <v>215,0</v>
      </c>
      <c r="L25" s="33" t="str">
        <f>"118,6478"</f>
        <v>118,6478</v>
      </c>
      <c r="M25" s="17" t="s">
        <v>21</v>
      </c>
    </row>
    <row r="27" ht="15.75" spans="5:5">
      <c r="E27" s="21" t="s">
        <v>29</v>
      </c>
    </row>
    <row r="28" ht="15.75" spans="5:5">
      <c r="E28" s="21" t="s">
        <v>30</v>
      </c>
    </row>
    <row r="29" ht="15.75" spans="5:5">
      <c r="E29" s="21" t="s">
        <v>31</v>
      </c>
    </row>
    <row r="30" ht="15.75" spans="5:5">
      <c r="E30" s="21" t="s">
        <v>32</v>
      </c>
    </row>
    <row r="31" ht="15.75" spans="5:5">
      <c r="E31" s="21" t="s">
        <v>32</v>
      </c>
    </row>
    <row r="32" ht="15.75" spans="5:5">
      <c r="E32" s="21" t="s">
        <v>33</v>
      </c>
    </row>
    <row r="33" ht="15.75" spans="5:5">
      <c r="E33" s="21"/>
    </row>
    <row r="35" ht="18.75" spans="1:2">
      <c r="A35" s="22" t="s">
        <v>34</v>
      </c>
      <c r="B35" s="22"/>
    </row>
    <row r="36" ht="15.75" spans="1:2">
      <c r="A36" s="23" t="s">
        <v>175</v>
      </c>
      <c r="B36" s="23"/>
    </row>
    <row r="37" ht="15" spans="1:2">
      <c r="A37" s="24"/>
      <c r="B37" s="25" t="s">
        <v>36</v>
      </c>
    </row>
    <row r="38" ht="14.25" spans="1:5">
      <c r="A38" s="26" t="s">
        <v>37</v>
      </c>
      <c r="B38" s="26" t="s">
        <v>38</v>
      </c>
      <c r="C38" s="26" t="s">
        <v>39</v>
      </c>
      <c r="D38" s="26" t="s">
        <v>40</v>
      </c>
      <c r="E38" s="26" t="s">
        <v>41</v>
      </c>
    </row>
    <row r="39" spans="1:5">
      <c r="A39" s="27" t="s">
        <v>176</v>
      </c>
      <c r="B39" s="3" t="s">
        <v>36</v>
      </c>
      <c r="C39" s="3" t="s">
        <v>177</v>
      </c>
      <c r="D39" s="3" t="s">
        <v>123</v>
      </c>
      <c r="E39" s="5" t="s">
        <v>178</v>
      </c>
    </row>
    <row r="41" ht="15" spans="1:2">
      <c r="A41" s="24"/>
      <c r="B41" s="25" t="s">
        <v>45</v>
      </c>
    </row>
    <row r="42" ht="14.25" spans="1:5">
      <c r="A42" s="26" t="s">
        <v>37</v>
      </c>
      <c r="B42" s="26" t="s">
        <v>38</v>
      </c>
      <c r="C42" s="26" t="s">
        <v>39</v>
      </c>
      <c r="D42" s="26" t="s">
        <v>40</v>
      </c>
      <c r="E42" s="26" t="s">
        <v>41</v>
      </c>
    </row>
    <row r="43" spans="1:5">
      <c r="A43" s="27" t="s">
        <v>179</v>
      </c>
      <c r="B43" s="3" t="s">
        <v>47</v>
      </c>
      <c r="C43" s="3" t="s">
        <v>107</v>
      </c>
      <c r="D43" s="3" t="s">
        <v>130</v>
      </c>
      <c r="E43" s="5" t="s">
        <v>180</v>
      </c>
    </row>
    <row r="46" ht="15.75" spans="1:2">
      <c r="A46" s="23" t="s">
        <v>35</v>
      </c>
      <c r="B46" s="23"/>
    </row>
    <row r="47" ht="15" spans="1:2">
      <c r="A47" s="24"/>
      <c r="B47" s="25" t="s">
        <v>93</v>
      </c>
    </row>
    <row r="48" ht="14.25" spans="1:5">
      <c r="A48" s="26" t="s">
        <v>37</v>
      </c>
      <c r="B48" s="26" t="s">
        <v>38</v>
      </c>
      <c r="C48" s="26" t="s">
        <v>39</v>
      </c>
      <c r="D48" s="26" t="s">
        <v>40</v>
      </c>
      <c r="E48" s="26" t="s">
        <v>41</v>
      </c>
    </row>
    <row r="49" spans="1:5">
      <c r="A49" s="27" t="s">
        <v>181</v>
      </c>
      <c r="B49" s="3" t="s">
        <v>95</v>
      </c>
      <c r="C49" s="3" t="s">
        <v>104</v>
      </c>
      <c r="D49" s="3" t="s">
        <v>164</v>
      </c>
      <c r="E49" s="5" t="s">
        <v>182</v>
      </c>
    </row>
    <row r="50" spans="1:5">
      <c r="A50" s="27" t="s">
        <v>183</v>
      </c>
      <c r="B50" s="3" t="s">
        <v>99</v>
      </c>
      <c r="C50" s="3" t="s">
        <v>48</v>
      </c>
      <c r="D50" s="3" t="s">
        <v>155</v>
      </c>
      <c r="E50" s="5" t="s">
        <v>184</v>
      </c>
    </row>
    <row r="52" ht="15" spans="1:2">
      <c r="A52" s="24"/>
      <c r="B52" s="25" t="s">
        <v>36</v>
      </c>
    </row>
    <row r="53" ht="14.25" spans="1:5">
      <c r="A53" s="26" t="s">
        <v>37</v>
      </c>
      <c r="B53" s="26" t="s">
        <v>38</v>
      </c>
      <c r="C53" s="26" t="s">
        <v>39</v>
      </c>
      <c r="D53" s="26" t="s">
        <v>40</v>
      </c>
      <c r="E53" s="26" t="s">
        <v>41</v>
      </c>
    </row>
    <row r="54" spans="1:5">
      <c r="A54" s="27" t="s">
        <v>185</v>
      </c>
      <c r="B54" s="3" t="s">
        <v>36</v>
      </c>
      <c r="C54" s="3" t="s">
        <v>96</v>
      </c>
      <c r="D54" s="3" t="s">
        <v>142</v>
      </c>
      <c r="E54" s="5" t="s">
        <v>186</v>
      </c>
    </row>
    <row r="55" spans="1:5">
      <c r="A55" s="27" t="s">
        <v>187</v>
      </c>
      <c r="B55" s="3" t="s">
        <v>36</v>
      </c>
      <c r="C55" s="3" t="s">
        <v>96</v>
      </c>
      <c r="D55" s="3" t="s">
        <v>136</v>
      </c>
      <c r="E55" s="5" t="s">
        <v>188</v>
      </c>
    </row>
    <row r="56" spans="1:5">
      <c r="A56" s="27" t="s">
        <v>189</v>
      </c>
      <c r="B56" s="3" t="s">
        <v>36</v>
      </c>
      <c r="C56" s="3" t="s">
        <v>104</v>
      </c>
      <c r="D56" s="3" t="s">
        <v>169</v>
      </c>
      <c r="E56" s="5" t="s">
        <v>190</v>
      </c>
    </row>
    <row r="57" spans="1:5">
      <c r="A57" s="27" t="s">
        <v>191</v>
      </c>
      <c r="B57" s="3" t="s">
        <v>36</v>
      </c>
      <c r="C57" s="3" t="s">
        <v>96</v>
      </c>
      <c r="D57" s="3" t="s">
        <v>148</v>
      </c>
      <c r="E57" s="5" t="s">
        <v>192</v>
      </c>
    </row>
    <row r="58" spans="1:5">
      <c r="A58" s="27" t="s">
        <v>193</v>
      </c>
      <c r="B58" s="3" t="s">
        <v>36</v>
      </c>
      <c r="C58" s="3" t="s">
        <v>48</v>
      </c>
      <c r="D58" s="3" t="s">
        <v>141</v>
      </c>
      <c r="E58" s="5" t="s">
        <v>194</v>
      </c>
    </row>
    <row r="59" spans="1:5">
      <c r="A59" s="27" t="s">
        <v>195</v>
      </c>
      <c r="B59" s="3" t="s">
        <v>36</v>
      </c>
      <c r="C59" s="3" t="s">
        <v>196</v>
      </c>
      <c r="D59" s="3" t="s">
        <v>164</v>
      </c>
      <c r="E59" s="5" t="s">
        <v>197</v>
      </c>
    </row>
  </sheetData>
  <mergeCells count="17">
    <mergeCell ref="G3:J3"/>
    <mergeCell ref="A5:J5"/>
    <mergeCell ref="A8:J8"/>
    <mergeCell ref="A11:J11"/>
    <mergeCell ref="A16:J16"/>
    <mergeCell ref="A20:J20"/>
    <mergeCell ref="A24:J24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5.8888888888889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198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117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77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199</v>
      </c>
      <c r="B6" s="17" t="s">
        <v>200</v>
      </c>
      <c r="C6" s="17" t="s">
        <v>201</v>
      </c>
      <c r="D6" s="17" t="str">
        <f>"0,5885"</f>
        <v>0,5885</v>
      </c>
      <c r="E6" s="17" t="s">
        <v>16</v>
      </c>
      <c r="F6" s="17" t="s">
        <v>55</v>
      </c>
      <c r="G6" s="18" t="s">
        <v>202</v>
      </c>
      <c r="H6" s="46" t="s">
        <v>203</v>
      </c>
      <c r="I6" s="18" t="s">
        <v>203</v>
      </c>
      <c r="J6" s="46"/>
      <c r="K6" s="32" t="str">
        <f>"295,0"</f>
        <v>295,0</v>
      </c>
      <c r="L6" s="33" t="str">
        <f>"173,6222"</f>
        <v>173,6222</v>
      </c>
      <c r="M6" s="17" t="s">
        <v>21</v>
      </c>
    </row>
    <row r="8" ht="15.75" spans="1:10">
      <c r="A8" s="19" t="s">
        <v>170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204</v>
      </c>
      <c r="B9" s="17" t="s">
        <v>205</v>
      </c>
      <c r="C9" s="17" t="s">
        <v>206</v>
      </c>
      <c r="D9" s="17" t="str">
        <f>"0,5520"</f>
        <v>0,5520</v>
      </c>
      <c r="E9" s="17" t="s">
        <v>16</v>
      </c>
      <c r="F9" s="17" t="s">
        <v>152</v>
      </c>
      <c r="G9" s="46" t="s">
        <v>207</v>
      </c>
      <c r="H9" s="18" t="s">
        <v>208</v>
      </c>
      <c r="I9" s="46" t="s">
        <v>203</v>
      </c>
      <c r="J9" s="46"/>
      <c r="K9" s="32" t="str">
        <f>"270,0"</f>
        <v>270,0</v>
      </c>
      <c r="L9" s="33" t="str">
        <f>"149,0400"</f>
        <v>149,0400</v>
      </c>
      <c r="M9" s="17" t="s">
        <v>21</v>
      </c>
    </row>
    <row r="11" ht="15.75" spans="1:10">
      <c r="A11" s="19" t="s">
        <v>209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3">
      <c r="A12" s="17" t="s">
        <v>210</v>
      </c>
      <c r="B12" s="17" t="s">
        <v>211</v>
      </c>
      <c r="C12" s="17" t="s">
        <v>212</v>
      </c>
      <c r="D12" s="17" t="str">
        <f>"0,5440"</f>
        <v>0,5440</v>
      </c>
      <c r="E12" s="17" t="s">
        <v>16</v>
      </c>
      <c r="F12" s="17" t="s">
        <v>213</v>
      </c>
      <c r="G12" s="46" t="s">
        <v>214</v>
      </c>
      <c r="H12" s="18" t="s">
        <v>215</v>
      </c>
      <c r="I12" s="18" t="s">
        <v>216</v>
      </c>
      <c r="J12" s="46"/>
      <c r="K12" s="32" t="str">
        <f>"265,0"</f>
        <v>265,0</v>
      </c>
      <c r="L12" s="33" t="str">
        <f>"144,1547"</f>
        <v>144,1547</v>
      </c>
      <c r="M12" s="17" t="s">
        <v>21</v>
      </c>
    </row>
    <row r="14" ht="15.75" spans="5:5">
      <c r="E14" s="21" t="s">
        <v>29</v>
      </c>
    </row>
    <row r="15" ht="15.75" spans="5:5">
      <c r="E15" s="21" t="s">
        <v>30</v>
      </c>
    </row>
    <row r="16" ht="15.75" spans="5:5">
      <c r="E16" s="21" t="s">
        <v>31</v>
      </c>
    </row>
    <row r="17" ht="15.75" spans="5:5">
      <c r="E17" s="21" t="s">
        <v>32</v>
      </c>
    </row>
    <row r="18" ht="15.75" spans="5:5">
      <c r="E18" s="21" t="s">
        <v>32</v>
      </c>
    </row>
    <row r="19" ht="15.75" spans="5:5">
      <c r="E19" s="21" t="s">
        <v>33</v>
      </c>
    </row>
    <row r="20" ht="15.75" spans="5:5">
      <c r="E20" s="21"/>
    </row>
    <row r="22" ht="18.75" spans="1:2">
      <c r="A22" s="22" t="s">
        <v>34</v>
      </c>
      <c r="B22" s="22"/>
    </row>
    <row r="23" ht="15.75" spans="1:2">
      <c r="A23" s="23" t="s">
        <v>35</v>
      </c>
      <c r="B23" s="23"/>
    </row>
    <row r="24" ht="15" spans="1:2">
      <c r="A24" s="24"/>
      <c r="B24" s="25" t="s">
        <v>36</v>
      </c>
    </row>
    <row r="25" ht="14.25" spans="1:5">
      <c r="A25" s="26" t="s">
        <v>37</v>
      </c>
      <c r="B25" s="26" t="s">
        <v>38</v>
      </c>
      <c r="C25" s="26" t="s">
        <v>39</v>
      </c>
      <c r="D25" s="26" t="s">
        <v>40</v>
      </c>
      <c r="E25" s="26" t="s">
        <v>41</v>
      </c>
    </row>
    <row r="26" spans="1:5">
      <c r="A26" s="27" t="s">
        <v>217</v>
      </c>
      <c r="B26" s="3" t="s">
        <v>36</v>
      </c>
      <c r="C26" s="3" t="s">
        <v>104</v>
      </c>
      <c r="D26" s="3" t="s">
        <v>203</v>
      </c>
      <c r="E26" s="5" t="s">
        <v>218</v>
      </c>
    </row>
    <row r="27" spans="1:5">
      <c r="A27" s="27" t="s">
        <v>219</v>
      </c>
      <c r="B27" s="3" t="s">
        <v>36</v>
      </c>
      <c r="C27" s="3" t="s">
        <v>196</v>
      </c>
      <c r="D27" s="3" t="s">
        <v>208</v>
      </c>
      <c r="E27" s="5" t="s">
        <v>220</v>
      </c>
    </row>
    <row r="28" spans="1:5">
      <c r="A28" s="27" t="s">
        <v>221</v>
      </c>
      <c r="B28" s="3" t="s">
        <v>36</v>
      </c>
      <c r="C28" s="3" t="s">
        <v>222</v>
      </c>
      <c r="D28" s="3" t="s">
        <v>216</v>
      </c>
      <c r="E28" s="5" t="s">
        <v>223</v>
      </c>
    </row>
  </sheetData>
  <mergeCells count="14">
    <mergeCell ref="G3:J3"/>
    <mergeCell ref="A5:J5"/>
    <mergeCell ref="A8:J8"/>
    <mergeCell ref="A11:J11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10" width="5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225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226</v>
      </c>
      <c r="B6" s="17" t="s">
        <v>227</v>
      </c>
      <c r="C6" s="17" t="s">
        <v>228</v>
      </c>
      <c r="D6" s="17" t="str">
        <f>"0,7254"</f>
        <v>0,7254</v>
      </c>
      <c r="E6" s="17" t="s">
        <v>16</v>
      </c>
      <c r="F6" s="17" t="s">
        <v>74</v>
      </c>
      <c r="G6" s="18" t="s">
        <v>229</v>
      </c>
      <c r="H6" s="18" t="s">
        <v>148</v>
      </c>
      <c r="I6" s="18" t="s">
        <v>159</v>
      </c>
      <c r="J6" s="18" t="s">
        <v>230</v>
      </c>
      <c r="K6" s="32" t="str">
        <f>"195,0"</f>
        <v>195,0</v>
      </c>
      <c r="L6" s="33" t="str">
        <f>"141,4530"</f>
        <v>141,4530</v>
      </c>
      <c r="M6" s="17" t="s">
        <v>21</v>
      </c>
    </row>
    <row r="8" ht="15.75" spans="1:10">
      <c r="A8" s="19" t="s">
        <v>77</v>
      </c>
      <c r="B8" s="20"/>
      <c r="C8" s="20"/>
      <c r="D8" s="20"/>
      <c r="E8" s="20"/>
      <c r="F8" s="20"/>
      <c r="G8" s="20"/>
      <c r="H8" s="20"/>
      <c r="I8" s="20"/>
      <c r="J8" s="20"/>
    </row>
    <row r="9" spans="1:13">
      <c r="A9" s="17" t="s">
        <v>231</v>
      </c>
      <c r="B9" s="17" t="s">
        <v>232</v>
      </c>
      <c r="C9" s="17" t="s">
        <v>233</v>
      </c>
      <c r="D9" s="17" t="str">
        <f>"0,5987"</f>
        <v>0,5987</v>
      </c>
      <c r="E9" s="17" t="s">
        <v>16</v>
      </c>
      <c r="F9" s="17" t="s">
        <v>55</v>
      </c>
      <c r="G9" s="18" t="s">
        <v>234</v>
      </c>
      <c r="H9" s="18" t="s">
        <v>229</v>
      </c>
      <c r="I9" s="46" t="s">
        <v>141</v>
      </c>
      <c r="J9" s="46"/>
      <c r="K9" s="32" t="str">
        <f>"175,0"</f>
        <v>175,0</v>
      </c>
      <c r="L9" s="33" t="str">
        <f>"104,7725"</f>
        <v>104,7725</v>
      </c>
      <c r="M9" s="17" t="s">
        <v>21</v>
      </c>
    </row>
    <row r="11" ht="15.75" spans="1:10">
      <c r="A11" s="19" t="s">
        <v>87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3">
      <c r="A12" s="34" t="s">
        <v>235</v>
      </c>
      <c r="B12" s="34" t="s">
        <v>236</v>
      </c>
      <c r="C12" s="34" t="s">
        <v>237</v>
      </c>
      <c r="D12" s="34" t="str">
        <f>"0,5658"</f>
        <v>0,5658</v>
      </c>
      <c r="E12" s="34" t="s">
        <v>16</v>
      </c>
      <c r="F12" s="34" t="s">
        <v>55</v>
      </c>
      <c r="G12" s="47" t="s">
        <v>164</v>
      </c>
      <c r="H12" s="47" t="s">
        <v>164</v>
      </c>
      <c r="I12" s="35" t="s">
        <v>164</v>
      </c>
      <c r="J12" s="47"/>
      <c r="K12" s="40" t="str">
        <f>"215,0"</f>
        <v>215,0</v>
      </c>
      <c r="L12" s="41" t="str">
        <f>"121,6470"</f>
        <v>121,6470</v>
      </c>
      <c r="M12" s="34" t="s">
        <v>21</v>
      </c>
    </row>
    <row r="13" spans="1:13">
      <c r="A13" s="36" t="s">
        <v>238</v>
      </c>
      <c r="B13" s="36" t="s">
        <v>239</v>
      </c>
      <c r="C13" s="36" t="s">
        <v>240</v>
      </c>
      <c r="D13" s="36" t="str">
        <f>"0,5642"</f>
        <v>0,5642</v>
      </c>
      <c r="E13" s="36" t="s">
        <v>16</v>
      </c>
      <c r="F13" s="36" t="s">
        <v>55</v>
      </c>
      <c r="G13" s="37" t="s">
        <v>164</v>
      </c>
      <c r="H13" s="50" t="s">
        <v>241</v>
      </c>
      <c r="I13" s="50" t="s">
        <v>241</v>
      </c>
      <c r="J13" s="50"/>
      <c r="K13" s="42" t="str">
        <f>"215,0"</f>
        <v>215,0</v>
      </c>
      <c r="L13" s="43" t="str">
        <f>"121,3137"</f>
        <v>121,3137</v>
      </c>
      <c r="M13" s="36" t="s">
        <v>21</v>
      </c>
    </row>
    <row r="14" spans="1:13">
      <c r="A14" s="36" t="s">
        <v>235</v>
      </c>
      <c r="B14" s="36" t="s">
        <v>242</v>
      </c>
      <c r="C14" s="36" t="s">
        <v>237</v>
      </c>
      <c r="D14" s="36" t="str">
        <f>"0,5658"</f>
        <v>0,5658</v>
      </c>
      <c r="E14" s="36" t="s">
        <v>16</v>
      </c>
      <c r="F14" s="36" t="s">
        <v>55</v>
      </c>
      <c r="G14" s="50" t="s">
        <v>164</v>
      </c>
      <c r="H14" s="50" t="s">
        <v>164</v>
      </c>
      <c r="I14" s="37" t="s">
        <v>164</v>
      </c>
      <c r="J14" s="50"/>
      <c r="K14" s="42" t="str">
        <f>"215,0"</f>
        <v>215,0</v>
      </c>
      <c r="L14" s="43" t="str">
        <f>"122,8635"</f>
        <v>122,8635</v>
      </c>
      <c r="M14" s="36" t="s">
        <v>21</v>
      </c>
    </row>
    <row r="15" spans="1:13">
      <c r="A15" s="38" t="s">
        <v>243</v>
      </c>
      <c r="B15" s="38" t="s">
        <v>244</v>
      </c>
      <c r="C15" s="38" t="s">
        <v>240</v>
      </c>
      <c r="D15" s="38" t="str">
        <f>"0,5642"</f>
        <v>0,5642</v>
      </c>
      <c r="E15" s="38" t="s">
        <v>16</v>
      </c>
      <c r="F15" s="38" t="s">
        <v>55</v>
      </c>
      <c r="G15" s="39" t="s">
        <v>164</v>
      </c>
      <c r="H15" s="48" t="s">
        <v>241</v>
      </c>
      <c r="I15" s="48" t="s">
        <v>241</v>
      </c>
      <c r="J15" s="48"/>
      <c r="K15" s="44" t="str">
        <f>"215,0"</f>
        <v>215,0</v>
      </c>
      <c r="L15" s="45" t="str">
        <f>"139,1469"</f>
        <v>139,1469</v>
      </c>
      <c r="M15" s="38" t="s">
        <v>21</v>
      </c>
    </row>
    <row r="17" ht="15.75" spans="1:10">
      <c r="A17" s="19" t="s">
        <v>209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3">
      <c r="A18" s="17" t="s">
        <v>245</v>
      </c>
      <c r="B18" s="17" t="s">
        <v>246</v>
      </c>
      <c r="C18" s="17" t="s">
        <v>247</v>
      </c>
      <c r="D18" s="17" t="str">
        <f>"0,5353"</f>
        <v>0,5353</v>
      </c>
      <c r="E18" s="17" t="s">
        <v>248</v>
      </c>
      <c r="F18" s="17" t="s">
        <v>55</v>
      </c>
      <c r="G18" s="18" t="s">
        <v>169</v>
      </c>
      <c r="H18" s="18" t="s">
        <v>214</v>
      </c>
      <c r="I18" s="46" t="s">
        <v>208</v>
      </c>
      <c r="J18" s="46"/>
      <c r="K18" s="32" t="str">
        <f>"250,0"</f>
        <v>250,0</v>
      </c>
      <c r="L18" s="33" t="str">
        <f>"142,9131"</f>
        <v>142,9131</v>
      </c>
      <c r="M18" s="17" t="s">
        <v>21</v>
      </c>
    </row>
    <row r="20" ht="15.75" spans="5:5">
      <c r="E20" s="21" t="s">
        <v>29</v>
      </c>
    </row>
    <row r="21" ht="15.75" spans="5:5">
      <c r="E21" s="21" t="s">
        <v>30</v>
      </c>
    </row>
    <row r="22" ht="15.75" spans="5:5">
      <c r="E22" s="21" t="s">
        <v>31</v>
      </c>
    </row>
    <row r="23" ht="15.75" spans="5:5">
      <c r="E23" s="21" t="s">
        <v>32</v>
      </c>
    </row>
    <row r="24" ht="15.75" spans="5:5">
      <c r="E24" s="21" t="s">
        <v>32</v>
      </c>
    </row>
    <row r="25" ht="15.75" spans="5:5">
      <c r="E25" s="21" t="s">
        <v>33</v>
      </c>
    </row>
    <row r="26" ht="15.75" spans="5:5">
      <c r="E26" s="21"/>
    </row>
    <row r="28" ht="18.75" spans="1:2">
      <c r="A28" s="22" t="s">
        <v>34</v>
      </c>
      <c r="B28" s="22"/>
    </row>
    <row r="29" ht="15.75" spans="1:2">
      <c r="A29" s="23" t="s">
        <v>35</v>
      </c>
      <c r="B29" s="23"/>
    </row>
    <row r="30" ht="15" spans="1:2">
      <c r="A30" s="24"/>
      <c r="B30" s="25" t="s">
        <v>36</v>
      </c>
    </row>
    <row r="31" ht="14.25" spans="1:5">
      <c r="A31" s="26" t="s">
        <v>37</v>
      </c>
      <c r="B31" s="26" t="s">
        <v>38</v>
      </c>
      <c r="C31" s="26" t="s">
        <v>39</v>
      </c>
      <c r="D31" s="26" t="s">
        <v>40</v>
      </c>
      <c r="E31" s="26" t="s">
        <v>41</v>
      </c>
    </row>
    <row r="32" spans="1:5">
      <c r="A32" s="27" t="s">
        <v>249</v>
      </c>
      <c r="B32" s="3" t="s">
        <v>36</v>
      </c>
      <c r="C32" s="3" t="s">
        <v>96</v>
      </c>
      <c r="D32" s="3" t="s">
        <v>159</v>
      </c>
      <c r="E32" s="5" t="s">
        <v>250</v>
      </c>
    </row>
    <row r="33" spans="1:5">
      <c r="A33" s="27" t="s">
        <v>251</v>
      </c>
      <c r="B33" s="3" t="s">
        <v>36</v>
      </c>
      <c r="C33" s="3" t="s">
        <v>252</v>
      </c>
      <c r="D33" s="3" t="s">
        <v>164</v>
      </c>
      <c r="E33" s="5" t="s">
        <v>253</v>
      </c>
    </row>
    <row r="34" spans="1:5">
      <c r="A34" s="27" t="s">
        <v>254</v>
      </c>
      <c r="B34" s="3" t="s">
        <v>36</v>
      </c>
      <c r="C34" s="3" t="s">
        <v>252</v>
      </c>
      <c r="D34" s="3" t="s">
        <v>164</v>
      </c>
      <c r="E34" s="5" t="s">
        <v>255</v>
      </c>
    </row>
    <row r="35" spans="1:5">
      <c r="A35" s="27" t="s">
        <v>256</v>
      </c>
      <c r="B35" s="3" t="s">
        <v>36</v>
      </c>
      <c r="C35" s="3" t="s">
        <v>104</v>
      </c>
      <c r="D35" s="3" t="s">
        <v>229</v>
      </c>
      <c r="E35" s="5" t="s">
        <v>257</v>
      </c>
    </row>
    <row r="37" ht="15" spans="1:2">
      <c r="A37" s="24"/>
      <c r="B37" s="25" t="s">
        <v>45</v>
      </c>
    </row>
    <row r="38" ht="14.25" spans="1:5">
      <c r="A38" s="26" t="s">
        <v>37</v>
      </c>
      <c r="B38" s="26" t="s">
        <v>38</v>
      </c>
      <c r="C38" s="26" t="s">
        <v>39</v>
      </c>
      <c r="D38" s="26" t="s">
        <v>40</v>
      </c>
      <c r="E38" s="26" t="s">
        <v>41</v>
      </c>
    </row>
    <row r="39" spans="1:5">
      <c r="A39" s="27" t="s">
        <v>258</v>
      </c>
      <c r="B39" s="3" t="s">
        <v>259</v>
      </c>
      <c r="C39" s="3" t="s">
        <v>222</v>
      </c>
      <c r="D39" s="3" t="s">
        <v>214</v>
      </c>
      <c r="E39" s="5" t="s">
        <v>260</v>
      </c>
    </row>
    <row r="40" spans="1:5">
      <c r="A40" s="27" t="s">
        <v>254</v>
      </c>
      <c r="B40" s="3" t="s">
        <v>261</v>
      </c>
      <c r="C40" s="3" t="s">
        <v>252</v>
      </c>
      <c r="D40" s="3" t="s">
        <v>164</v>
      </c>
      <c r="E40" s="5" t="s">
        <v>262</v>
      </c>
    </row>
    <row r="41" spans="1:5">
      <c r="A41" s="27" t="s">
        <v>251</v>
      </c>
      <c r="B41" s="3" t="s">
        <v>47</v>
      </c>
      <c r="C41" s="3" t="s">
        <v>252</v>
      </c>
      <c r="D41" s="3" t="s">
        <v>164</v>
      </c>
      <c r="E41" s="5" t="s">
        <v>263</v>
      </c>
    </row>
  </sheetData>
  <mergeCells count="15">
    <mergeCell ref="G3:J3"/>
    <mergeCell ref="A5:J5"/>
    <mergeCell ref="A8:J8"/>
    <mergeCell ref="A11:J11"/>
    <mergeCell ref="A17:J17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6.55555555555556" style="3" customWidth="1"/>
    <col min="5" max="5" width="21.7777777777778" style="3" customWidth="1"/>
    <col min="6" max="6" width="14.7777777777778" style="3" customWidth="1"/>
    <col min="7" max="7" width="5.55555555555556" style="4" customWidth="1"/>
    <col min="8" max="9" width="2.11111111111111" style="4" customWidth="1"/>
    <col min="10" max="10" width="4.55555555555556" style="4" customWidth="1"/>
    <col min="11" max="11" width="7.66666666666667" style="5" customWidth="1"/>
    <col min="12" max="12" width="6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225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265</v>
      </c>
      <c r="B6" s="17" t="s">
        <v>266</v>
      </c>
      <c r="C6" s="17" t="s">
        <v>267</v>
      </c>
      <c r="D6" s="17" t="str">
        <f>"0,7132"</f>
        <v>0,7132</v>
      </c>
      <c r="E6" s="17" t="s">
        <v>16</v>
      </c>
      <c r="F6" s="17" t="s">
        <v>55</v>
      </c>
      <c r="G6" s="46" t="s">
        <v>268</v>
      </c>
      <c r="H6" s="46"/>
      <c r="I6" s="46"/>
      <c r="J6" s="46"/>
      <c r="K6" s="32" t="str">
        <f>"0.00"</f>
        <v>0.00</v>
      </c>
      <c r="L6" s="33" t="str">
        <f>"0,0000"</f>
        <v>0,0000</v>
      </c>
      <c r="M6" s="17" t="s">
        <v>21</v>
      </c>
    </row>
    <row r="8" ht="15.75" spans="5:5">
      <c r="E8" s="21" t="s">
        <v>29</v>
      </c>
    </row>
    <row r="9" ht="15.75" spans="5:5">
      <c r="E9" s="21" t="s">
        <v>30</v>
      </c>
    </row>
    <row r="10" ht="15.75" spans="5:5">
      <c r="E10" s="21" t="s">
        <v>31</v>
      </c>
    </row>
    <row r="11" ht="15.75" spans="5:5">
      <c r="E11" s="21" t="s">
        <v>32</v>
      </c>
    </row>
    <row r="12" ht="15.75" spans="5:5">
      <c r="E12" s="21" t="s">
        <v>32</v>
      </c>
    </row>
    <row r="13" ht="15.75" spans="5:5">
      <c r="E13" s="21" t="s">
        <v>33</v>
      </c>
    </row>
    <row r="14" ht="15.75" spans="5:5">
      <c r="E14" s="21"/>
    </row>
    <row r="16" ht="18.75" spans="1:2">
      <c r="A16" s="22" t="s">
        <v>34</v>
      </c>
      <c r="B16" s="22"/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5" width="21.7777777777778" style="3" customWidth="1"/>
    <col min="6" max="6" width="14.7777777777778" style="3" customWidth="1"/>
    <col min="7" max="10" width="4.55555555555556" style="4" customWidth="1"/>
    <col min="11" max="11" width="7.66666666666667" style="5" customWidth="1"/>
    <col min="12" max="12" width="7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270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58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17" t="s">
        <v>271</v>
      </c>
      <c r="B6" s="17" t="s">
        <v>272</v>
      </c>
      <c r="C6" s="17" t="s">
        <v>273</v>
      </c>
      <c r="D6" s="17" t="str">
        <f>"0,8679"</f>
        <v>0,8679</v>
      </c>
      <c r="E6" s="17" t="s">
        <v>16</v>
      </c>
      <c r="F6" s="17" t="s">
        <v>55</v>
      </c>
      <c r="G6" s="46" t="s">
        <v>274</v>
      </c>
      <c r="H6" s="46" t="s">
        <v>56</v>
      </c>
      <c r="I6" s="18" t="s">
        <v>56</v>
      </c>
      <c r="J6" s="46"/>
      <c r="K6" s="32" t="str">
        <f>"50,0"</f>
        <v>50,0</v>
      </c>
      <c r="L6" s="33" t="str">
        <f>"44,7377"</f>
        <v>44,7377</v>
      </c>
      <c r="M6" s="17" t="s">
        <v>21</v>
      </c>
    </row>
    <row r="8" ht="15.75" spans="5:5">
      <c r="E8" s="21" t="s">
        <v>29</v>
      </c>
    </row>
    <row r="9" ht="15.75" spans="5:5">
      <c r="E9" s="21" t="s">
        <v>30</v>
      </c>
    </row>
    <row r="10" ht="15.75" spans="5:5">
      <c r="E10" s="21" t="s">
        <v>31</v>
      </c>
    </row>
    <row r="11" ht="15.75" spans="5:5">
      <c r="E11" s="21" t="s">
        <v>32</v>
      </c>
    </row>
    <row r="12" ht="15.75" spans="5:5">
      <c r="E12" s="21" t="s">
        <v>32</v>
      </c>
    </row>
    <row r="13" ht="15.75" spans="5:5">
      <c r="E13" s="21" t="s">
        <v>33</v>
      </c>
    </row>
    <row r="14" ht="15.75" spans="5:5">
      <c r="E14" s="21"/>
    </row>
    <row r="16" ht="18.75" spans="1:2">
      <c r="A16" s="22" t="s">
        <v>34</v>
      </c>
      <c r="B16" s="22"/>
    </row>
    <row r="17" ht="15.75" spans="1:2">
      <c r="A17" s="23" t="s">
        <v>175</v>
      </c>
      <c r="B17" s="23"/>
    </row>
    <row r="18" ht="15" spans="1:2">
      <c r="A18" s="24"/>
      <c r="B18" s="25" t="s">
        <v>45</v>
      </c>
    </row>
    <row r="19" ht="14.25" spans="1:5">
      <c r="A19" s="26" t="s">
        <v>37</v>
      </c>
      <c r="B19" s="26" t="s">
        <v>38</v>
      </c>
      <c r="C19" s="26" t="s">
        <v>39</v>
      </c>
      <c r="D19" s="26" t="s">
        <v>40</v>
      </c>
      <c r="E19" s="26" t="s">
        <v>41</v>
      </c>
    </row>
    <row r="20" spans="1:5">
      <c r="A20" s="27" t="s">
        <v>275</v>
      </c>
      <c r="B20" s="3" t="s">
        <v>47</v>
      </c>
      <c r="C20" s="3" t="s">
        <v>96</v>
      </c>
      <c r="D20" s="3" t="s">
        <v>56</v>
      </c>
      <c r="E20" s="5" t="s">
        <v>276</v>
      </c>
    </row>
  </sheetData>
  <mergeCells count="12">
    <mergeCell ref="G3:J3"/>
    <mergeCell ref="A5:J5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9"/>
  <sheetViews>
    <sheetView topLeftCell="A28"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9.8888888888889" style="3" customWidth="1"/>
    <col min="3" max="3" width="14.8888888888889" style="3" customWidth="1"/>
    <col min="4" max="4" width="11.8888888888889" style="3" customWidth="1"/>
    <col min="5" max="6" width="21.7777777777778" style="3" customWidth="1"/>
    <col min="7" max="9" width="5.55555555555556" style="4" customWidth="1"/>
    <col min="10" max="10" width="4.55555555555556" style="4" customWidth="1"/>
    <col min="11" max="11" width="7.66666666666667" style="5" customWidth="1"/>
    <col min="12" max="12" width="8.55555555555556" style="1" customWidth="1"/>
    <col min="13" max="13" width="8.33333333333333" style="3" customWidth="1"/>
    <col min="14" max="16384" width="9.11111111111111" style="4"/>
  </cols>
  <sheetData>
    <row r="1" s="1" customFormat="1" ht="28.95" customHeight="1" spans="1:13">
      <c r="A1" s="6" t="s">
        <v>277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</row>
    <row r="2" s="1" customFormat="1" ht="61.95" customHeight="1" spans="1:1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9"/>
    </row>
    <row r="3" s="2" customFormat="1" customHeight="1" spans="1:13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225</v>
      </c>
      <c r="H3" s="12"/>
      <c r="I3" s="12"/>
      <c r="J3" s="12"/>
      <c r="K3" s="12" t="s">
        <v>8</v>
      </c>
      <c r="L3" s="12" t="s">
        <v>9</v>
      </c>
      <c r="M3" s="30" t="s">
        <v>10</v>
      </c>
    </row>
    <row r="4" s="2" customFormat="1" ht="21" customHeight="1" spans="1:13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/>
      <c r="L4" s="14"/>
      <c r="M4" s="31"/>
    </row>
    <row r="5" ht="15.75" spans="1:10">
      <c r="A5" s="15" t="s">
        <v>278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>
      <c r="A6" s="34" t="s">
        <v>279</v>
      </c>
      <c r="B6" s="34" t="s">
        <v>280</v>
      </c>
      <c r="C6" s="34" t="s">
        <v>281</v>
      </c>
      <c r="D6" s="34" t="str">
        <f>"1,1846"</f>
        <v>1,1846</v>
      </c>
      <c r="E6" s="34" t="s">
        <v>16</v>
      </c>
      <c r="F6" s="34" t="s">
        <v>282</v>
      </c>
      <c r="G6" s="47" t="s">
        <v>283</v>
      </c>
      <c r="H6" s="35" t="s">
        <v>75</v>
      </c>
      <c r="I6" s="35" t="s">
        <v>284</v>
      </c>
      <c r="J6" s="47"/>
      <c r="K6" s="40" t="str">
        <f>"37,5"</f>
        <v>37,5</v>
      </c>
      <c r="L6" s="41" t="str">
        <f>"44,4225"</f>
        <v>44,4225</v>
      </c>
      <c r="M6" s="34" t="s">
        <v>21</v>
      </c>
    </row>
    <row r="7" spans="1:13">
      <c r="A7" s="38" t="s">
        <v>285</v>
      </c>
      <c r="B7" s="38" t="s">
        <v>286</v>
      </c>
      <c r="C7" s="38" t="s">
        <v>287</v>
      </c>
      <c r="D7" s="38" t="str">
        <f>"1,1961"</f>
        <v>1,1961</v>
      </c>
      <c r="E7" s="38" t="s">
        <v>16</v>
      </c>
      <c r="F7" s="38" t="s">
        <v>55</v>
      </c>
      <c r="G7" s="39" t="s">
        <v>70</v>
      </c>
      <c r="H7" s="48" t="s">
        <v>81</v>
      </c>
      <c r="I7" s="48" t="s">
        <v>81</v>
      </c>
      <c r="J7" s="48"/>
      <c r="K7" s="44" t="str">
        <f>"57,5"</f>
        <v>57,5</v>
      </c>
      <c r="L7" s="45" t="str">
        <f>"68,7757"</f>
        <v>68,7757</v>
      </c>
      <c r="M7" s="38" t="s">
        <v>21</v>
      </c>
    </row>
    <row r="9" ht="15.75" spans="1:10">
      <c r="A9" s="19" t="s">
        <v>288</v>
      </c>
      <c r="B9" s="20"/>
      <c r="C9" s="20"/>
      <c r="D9" s="20"/>
      <c r="E9" s="20"/>
      <c r="F9" s="20"/>
      <c r="G9" s="20"/>
      <c r="H9" s="20"/>
      <c r="I9" s="20"/>
      <c r="J9" s="20"/>
    </row>
    <row r="10" spans="1:13">
      <c r="A10" s="17" t="s">
        <v>289</v>
      </c>
      <c r="B10" s="17" t="s">
        <v>290</v>
      </c>
      <c r="C10" s="17" t="s">
        <v>291</v>
      </c>
      <c r="D10" s="17" t="str">
        <f>"0,9997"</f>
        <v>0,9997</v>
      </c>
      <c r="E10" s="17" t="s">
        <v>16</v>
      </c>
      <c r="F10" s="17" t="s">
        <v>55</v>
      </c>
      <c r="G10" s="46" t="s">
        <v>56</v>
      </c>
      <c r="H10" s="46" t="s">
        <v>57</v>
      </c>
      <c r="I10" s="18" t="s">
        <v>57</v>
      </c>
      <c r="J10" s="46"/>
      <c r="K10" s="32" t="str">
        <f>"52,5"</f>
        <v>52,5</v>
      </c>
      <c r="L10" s="33" t="str">
        <f>"55,3709"</f>
        <v>55,3709</v>
      </c>
      <c r="M10" s="17" t="s">
        <v>21</v>
      </c>
    </row>
    <row r="12" ht="15.75" spans="1:10">
      <c r="A12" s="19" t="s">
        <v>51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3">
      <c r="A13" s="17" t="s">
        <v>292</v>
      </c>
      <c r="B13" s="17" t="s">
        <v>293</v>
      </c>
      <c r="C13" s="17" t="s">
        <v>294</v>
      </c>
      <c r="D13" s="17" t="str">
        <f>"0,9683"</f>
        <v>0,9683</v>
      </c>
      <c r="E13" s="17" t="s">
        <v>16</v>
      </c>
      <c r="F13" s="17" t="s">
        <v>55</v>
      </c>
      <c r="G13" s="18" t="s">
        <v>85</v>
      </c>
      <c r="H13" s="18" t="s">
        <v>62</v>
      </c>
      <c r="I13" s="18" t="s">
        <v>274</v>
      </c>
      <c r="J13" s="46"/>
      <c r="K13" s="32" t="str">
        <f>"47,5"</f>
        <v>47,5</v>
      </c>
      <c r="L13" s="33" t="str">
        <f>"45,9942"</f>
        <v>45,9942</v>
      </c>
      <c r="M13" s="17" t="s">
        <v>21</v>
      </c>
    </row>
    <row r="15" ht="15.75" spans="1:10">
      <c r="A15" s="19" t="s">
        <v>288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3">
      <c r="A16" s="17" t="s">
        <v>295</v>
      </c>
      <c r="B16" s="17" t="s">
        <v>296</v>
      </c>
      <c r="C16" s="17" t="s">
        <v>297</v>
      </c>
      <c r="D16" s="17" t="str">
        <f>"0,8342"</f>
        <v>0,8342</v>
      </c>
      <c r="E16" s="17" t="s">
        <v>16</v>
      </c>
      <c r="F16" s="17" t="s">
        <v>66</v>
      </c>
      <c r="G16" s="18" t="s">
        <v>62</v>
      </c>
      <c r="H16" s="18" t="s">
        <v>56</v>
      </c>
      <c r="I16" s="46" t="s">
        <v>28</v>
      </c>
      <c r="J16" s="46"/>
      <c r="K16" s="32" t="str">
        <f>"50,0"</f>
        <v>50,0</v>
      </c>
      <c r="L16" s="33" t="str">
        <f>"41,7100"</f>
        <v>41,7100</v>
      </c>
      <c r="M16" s="17" t="s">
        <v>21</v>
      </c>
    </row>
    <row r="18" ht="15.75" spans="1:10">
      <c r="A18" s="19" t="s">
        <v>58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3">
      <c r="A19" s="34" t="s">
        <v>298</v>
      </c>
      <c r="B19" s="34" t="s">
        <v>299</v>
      </c>
      <c r="C19" s="34" t="s">
        <v>273</v>
      </c>
      <c r="D19" s="34" t="str">
        <f>"0,7181"</f>
        <v>0,7181</v>
      </c>
      <c r="E19" s="34" t="s">
        <v>16</v>
      </c>
      <c r="F19" s="34" t="s">
        <v>282</v>
      </c>
      <c r="G19" s="35" t="s">
        <v>122</v>
      </c>
      <c r="H19" s="35" t="s">
        <v>20</v>
      </c>
      <c r="I19" s="35" t="s">
        <v>300</v>
      </c>
      <c r="J19" s="47"/>
      <c r="K19" s="40" t="str">
        <f>"77,5"</f>
        <v>77,5</v>
      </c>
      <c r="L19" s="41" t="str">
        <f>"55,6489"</f>
        <v>55,6489</v>
      </c>
      <c r="M19" s="34" t="s">
        <v>21</v>
      </c>
    </row>
    <row r="20" spans="1:13">
      <c r="A20" s="36" t="s">
        <v>301</v>
      </c>
      <c r="B20" s="36" t="s">
        <v>302</v>
      </c>
      <c r="C20" s="36" t="s">
        <v>303</v>
      </c>
      <c r="D20" s="36" t="str">
        <f>"0,6983"</f>
        <v>0,6983</v>
      </c>
      <c r="E20" s="36" t="s">
        <v>16</v>
      </c>
      <c r="F20" s="36" t="s">
        <v>55</v>
      </c>
      <c r="G20" s="37" t="s">
        <v>304</v>
      </c>
      <c r="H20" s="37" t="s">
        <v>305</v>
      </c>
      <c r="I20" s="50" t="s">
        <v>129</v>
      </c>
      <c r="J20" s="50"/>
      <c r="K20" s="42" t="str">
        <f>"117,5"</f>
        <v>117,5</v>
      </c>
      <c r="L20" s="43" t="str">
        <f>"82,0503"</f>
        <v>82,0503</v>
      </c>
      <c r="M20" s="36" t="s">
        <v>21</v>
      </c>
    </row>
    <row r="21" spans="1:13">
      <c r="A21" s="36" t="s">
        <v>306</v>
      </c>
      <c r="B21" s="36" t="s">
        <v>307</v>
      </c>
      <c r="C21" s="36" t="s">
        <v>308</v>
      </c>
      <c r="D21" s="36" t="str">
        <f>"0,7012"</f>
        <v>0,7012</v>
      </c>
      <c r="E21" s="36" t="s">
        <v>16</v>
      </c>
      <c r="F21" s="36" t="s">
        <v>309</v>
      </c>
      <c r="G21" s="37" t="s">
        <v>310</v>
      </c>
      <c r="H21" s="37" t="s">
        <v>130</v>
      </c>
      <c r="I21" s="50" t="s">
        <v>311</v>
      </c>
      <c r="J21" s="50"/>
      <c r="K21" s="42" t="str">
        <f>"135,0"</f>
        <v>135,0</v>
      </c>
      <c r="L21" s="43" t="str">
        <f>"94,6553"</f>
        <v>94,6553</v>
      </c>
      <c r="M21" s="36" t="s">
        <v>21</v>
      </c>
    </row>
    <row r="22" spans="1:13">
      <c r="A22" s="36" t="s">
        <v>312</v>
      </c>
      <c r="B22" s="36" t="s">
        <v>313</v>
      </c>
      <c r="C22" s="36" t="s">
        <v>314</v>
      </c>
      <c r="D22" s="36" t="str">
        <f>"0,6885"</f>
        <v>0,6885</v>
      </c>
      <c r="E22" s="36" t="s">
        <v>16</v>
      </c>
      <c r="F22" s="36" t="s">
        <v>55</v>
      </c>
      <c r="G22" s="37" t="s">
        <v>315</v>
      </c>
      <c r="H22" s="50" t="s">
        <v>310</v>
      </c>
      <c r="I22" s="50" t="s">
        <v>310</v>
      </c>
      <c r="J22" s="50"/>
      <c r="K22" s="42" t="str">
        <f>"125,0"</f>
        <v>125,0</v>
      </c>
      <c r="L22" s="43" t="str">
        <f>"86,0687"</f>
        <v>86,0687</v>
      </c>
      <c r="M22" s="36" t="s">
        <v>21</v>
      </c>
    </row>
    <row r="23" spans="1:13">
      <c r="A23" s="36" t="s">
        <v>316</v>
      </c>
      <c r="B23" s="36" t="s">
        <v>317</v>
      </c>
      <c r="C23" s="36" t="s">
        <v>318</v>
      </c>
      <c r="D23" s="36" t="str">
        <f>"0,6975"</f>
        <v>0,6975</v>
      </c>
      <c r="E23" s="36" t="s">
        <v>16</v>
      </c>
      <c r="F23" s="36" t="s">
        <v>319</v>
      </c>
      <c r="G23" s="50" t="s">
        <v>320</v>
      </c>
      <c r="H23" s="37" t="s">
        <v>128</v>
      </c>
      <c r="I23" s="50" t="s">
        <v>305</v>
      </c>
      <c r="J23" s="50"/>
      <c r="K23" s="42" t="str">
        <f>"110,0"</f>
        <v>110,0</v>
      </c>
      <c r="L23" s="43" t="str">
        <f>"76,7305"</f>
        <v>76,7305</v>
      </c>
      <c r="M23" s="36" t="s">
        <v>21</v>
      </c>
    </row>
    <row r="24" spans="1:13">
      <c r="A24" s="36" t="s">
        <v>321</v>
      </c>
      <c r="B24" s="36" t="s">
        <v>322</v>
      </c>
      <c r="C24" s="36" t="s">
        <v>69</v>
      </c>
      <c r="D24" s="36" t="str">
        <f>"0,6940"</f>
        <v>0,6940</v>
      </c>
      <c r="E24" s="36" t="s">
        <v>16</v>
      </c>
      <c r="F24" s="36" t="s">
        <v>55</v>
      </c>
      <c r="G24" s="37" t="s">
        <v>323</v>
      </c>
      <c r="H24" s="37" t="s">
        <v>320</v>
      </c>
      <c r="I24" s="50" t="s">
        <v>304</v>
      </c>
      <c r="J24" s="50"/>
      <c r="K24" s="42" t="str">
        <f>"105,0"</f>
        <v>105,0</v>
      </c>
      <c r="L24" s="43" t="str">
        <f>"72,8700"</f>
        <v>72,8700</v>
      </c>
      <c r="M24" s="36" t="s">
        <v>21</v>
      </c>
    </row>
    <row r="25" spans="1:13">
      <c r="A25" s="38" t="s">
        <v>324</v>
      </c>
      <c r="B25" s="38" t="s">
        <v>325</v>
      </c>
      <c r="C25" s="38" t="s">
        <v>69</v>
      </c>
      <c r="D25" s="38" t="str">
        <f>"0,6940"</f>
        <v>0,6940</v>
      </c>
      <c r="E25" s="38" t="s">
        <v>16</v>
      </c>
      <c r="F25" s="38" t="s">
        <v>55</v>
      </c>
      <c r="G25" s="39" t="s">
        <v>323</v>
      </c>
      <c r="H25" s="39" t="s">
        <v>320</v>
      </c>
      <c r="I25" s="48" t="s">
        <v>304</v>
      </c>
      <c r="J25" s="48"/>
      <c r="K25" s="44" t="str">
        <f>"105,0"</f>
        <v>105,0</v>
      </c>
      <c r="L25" s="45" t="str">
        <f>"94,0752"</f>
        <v>94,0752</v>
      </c>
      <c r="M25" s="38" t="s">
        <v>21</v>
      </c>
    </row>
    <row r="27" ht="15.75" spans="1:10">
      <c r="A27" s="19" t="s">
        <v>12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3">
      <c r="A28" s="34" t="s">
        <v>326</v>
      </c>
      <c r="B28" s="34" t="s">
        <v>327</v>
      </c>
      <c r="C28" s="34" t="s">
        <v>328</v>
      </c>
      <c r="D28" s="34" t="str">
        <f>"0,6497"</f>
        <v>0,6497</v>
      </c>
      <c r="E28" s="34" t="s">
        <v>16</v>
      </c>
      <c r="F28" s="34" t="s">
        <v>329</v>
      </c>
      <c r="G28" s="35" t="s">
        <v>268</v>
      </c>
      <c r="H28" s="35" t="s">
        <v>153</v>
      </c>
      <c r="I28" s="47" t="s">
        <v>330</v>
      </c>
      <c r="J28" s="47"/>
      <c r="K28" s="40" t="str">
        <f>"150,0"</f>
        <v>150,0</v>
      </c>
      <c r="L28" s="41" t="str">
        <f>"97,4625"</f>
        <v>97,4625</v>
      </c>
      <c r="M28" s="34" t="s">
        <v>21</v>
      </c>
    </row>
    <row r="29" spans="1:13">
      <c r="A29" s="36" t="s">
        <v>331</v>
      </c>
      <c r="B29" s="36" t="s">
        <v>332</v>
      </c>
      <c r="C29" s="36" t="s">
        <v>333</v>
      </c>
      <c r="D29" s="36" t="str">
        <f>"0,6461"</f>
        <v>0,6461</v>
      </c>
      <c r="E29" s="36" t="s">
        <v>16</v>
      </c>
      <c r="F29" s="36" t="s">
        <v>55</v>
      </c>
      <c r="G29" s="37" t="s">
        <v>130</v>
      </c>
      <c r="H29" s="50" t="s">
        <v>268</v>
      </c>
      <c r="I29" s="50" t="s">
        <v>268</v>
      </c>
      <c r="J29" s="50"/>
      <c r="K29" s="42" t="str">
        <f>"135,0"</f>
        <v>135,0</v>
      </c>
      <c r="L29" s="43" t="str">
        <f>"87,2302"</f>
        <v>87,2302</v>
      </c>
      <c r="M29" s="36" t="s">
        <v>21</v>
      </c>
    </row>
    <row r="30" spans="1:13">
      <c r="A30" s="36" t="s">
        <v>334</v>
      </c>
      <c r="B30" s="36" t="s">
        <v>335</v>
      </c>
      <c r="C30" s="36" t="s">
        <v>336</v>
      </c>
      <c r="D30" s="36" t="str">
        <f>"0,6529"</f>
        <v>0,6529</v>
      </c>
      <c r="E30" s="36" t="s">
        <v>16</v>
      </c>
      <c r="F30" s="36" t="s">
        <v>337</v>
      </c>
      <c r="G30" s="37" t="s">
        <v>305</v>
      </c>
      <c r="H30" s="37" t="s">
        <v>338</v>
      </c>
      <c r="I30" s="37" t="s">
        <v>310</v>
      </c>
      <c r="J30" s="50"/>
      <c r="K30" s="42" t="str">
        <f>"130,0"</f>
        <v>130,0</v>
      </c>
      <c r="L30" s="43" t="str">
        <f>"84,8770"</f>
        <v>84,8770</v>
      </c>
      <c r="M30" s="36" t="s">
        <v>21</v>
      </c>
    </row>
    <row r="31" spans="1:13">
      <c r="A31" s="36" t="s">
        <v>339</v>
      </c>
      <c r="B31" s="36" t="s">
        <v>340</v>
      </c>
      <c r="C31" s="36" t="s">
        <v>341</v>
      </c>
      <c r="D31" s="36" t="str">
        <f>"0,6561"</f>
        <v>0,6561</v>
      </c>
      <c r="E31" s="36" t="s">
        <v>16</v>
      </c>
      <c r="F31" s="36" t="s">
        <v>342</v>
      </c>
      <c r="G31" s="50" t="s">
        <v>343</v>
      </c>
      <c r="H31" s="37" t="s">
        <v>343</v>
      </c>
      <c r="I31" s="50" t="s">
        <v>320</v>
      </c>
      <c r="J31" s="50"/>
      <c r="K31" s="42" t="str">
        <f>"102,5"</f>
        <v>102,5</v>
      </c>
      <c r="L31" s="43" t="str">
        <f>"67,2554"</f>
        <v>67,2554</v>
      </c>
      <c r="M31" s="36" t="s">
        <v>21</v>
      </c>
    </row>
    <row r="32" spans="1:13">
      <c r="A32" s="38" t="s">
        <v>344</v>
      </c>
      <c r="B32" s="38" t="s">
        <v>345</v>
      </c>
      <c r="C32" s="38" t="s">
        <v>346</v>
      </c>
      <c r="D32" s="38" t="str">
        <f>"0,6583"</f>
        <v>0,6583</v>
      </c>
      <c r="E32" s="38" t="s">
        <v>16</v>
      </c>
      <c r="F32" s="38" t="s">
        <v>347</v>
      </c>
      <c r="G32" s="48" t="s">
        <v>343</v>
      </c>
      <c r="H32" s="48" t="s">
        <v>343</v>
      </c>
      <c r="I32" s="48" t="s">
        <v>343</v>
      </c>
      <c r="J32" s="48"/>
      <c r="K32" s="44" t="str">
        <f>"0.00"</f>
        <v>0.00</v>
      </c>
      <c r="L32" s="45" t="str">
        <f>"0,0000"</f>
        <v>0,0000</v>
      </c>
      <c r="M32" s="38" t="s">
        <v>21</v>
      </c>
    </row>
    <row r="34" ht="15.75" spans="1:10">
      <c r="A34" s="19" t="s">
        <v>22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3">
      <c r="A35" s="17" t="s">
        <v>348</v>
      </c>
      <c r="B35" s="17" t="s">
        <v>349</v>
      </c>
      <c r="C35" s="17" t="s">
        <v>350</v>
      </c>
      <c r="D35" s="17" t="str">
        <f>"0,6340"</f>
        <v>0,6340</v>
      </c>
      <c r="E35" s="17" t="s">
        <v>16</v>
      </c>
      <c r="F35" s="17" t="s">
        <v>351</v>
      </c>
      <c r="G35" s="18" t="s">
        <v>129</v>
      </c>
      <c r="H35" s="46" t="s">
        <v>352</v>
      </c>
      <c r="I35" s="46" t="s">
        <v>352</v>
      </c>
      <c r="J35" s="46"/>
      <c r="K35" s="32" t="str">
        <f>"120,0"</f>
        <v>120,0</v>
      </c>
      <c r="L35" s="33" t="str">
        <f>"76,0800"</f>
        <v>76,0800</v>
      </c>
      <c r="M35" s="17" t="s">
        <v>21</v>
      </c>
    </row>
    <row r="37" ht="15.75" spans="1:10">
      <c r="A37" s="19" t="s">
        <v>77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3">
      <c r="A38" s="34" t="s">
        <v>353</v>
      </c>
      <c r="B38" s="34" t="s">
        <v>354</v>
      </c>
      <c r="C38" s="34" t="s">
        <v>355</v>
      </c>
      <c r="D38" s="34" t="str">
        <f>"0,5875"</f>
        <v>0,5875</v>
      </c>
      <c r="E38" s="34" t="s">
        <v>16</v>
      </c>
      <c r="F38" s="34" t="s">
        <v>55</v>
      </c>
      <c r="G38" s="35" t="s">
        <v>352</v>
      </c>
      <c r="H38" s="35" t="s">
        <v>356</v>
      </c>
      <c r="I38" s="35" t="s">
        <v>268</v>
      </c>
      <c r="J38" s="47"/>
      <c r="K38" s="40" t="str">
        <f>"145,0"</f>
        <v>145,0</v>
      </c>
      <c r="L38" s="41" t="str">
        <f>"85,1803"</f>
        <v>85,1803</v>
      </c>
      <c r="M38" s="34" t="s">
        <v>21</v>
      </c>
    </row>
    <row r="39" spans="1:13">
      <c r="A39" s="38" t="s">
        <v>357</v>
      </c>
      <c r="B39" s="38" t="s">
        <v>358</v>
      </c>
      <c r="C39" s="38" t="s">
        <v>359</v>
      </c>
      <c r="D39" s="38" t="str">
        <f>"0,6029"</f>
        <v>0,6029</v>
      </c>
      <c r="E39" s="38" t="s">
        <v>16</v>
      </c>
      <c r="F39" s="38" t="s">
        <v>55</v>
      </c>
      <c r="G39" s="48" t="s">
        <v>124</v>
      </c>
      <c r="H39" s="48" t="s">
        <v>360</v>
      </c>
      <c r="I39" s="39" t="s">
        <v>360</v>
      </c>
      <c r="J39" s="48"/>
      <c r="K39" s="44" t="str">
        <f>"115,0"</f>
        <v>115,0</v>
      </c>
      <c r="L39" s="45" t="str">
        <f>"77,1746"</f>
        <v>77,1746</v>
      </c>
      <c r="M39" s="38" t="s">
        <v>21</v>
      </c>
    </row>
    <row r="41" ht="15.75" spans="1:10">
      <c r="A41" s="19" t="s">
        <v>87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3">
      <c r="A42" s="34" t="s">
        <v>361</v>
      </c>
      <c r="B42" s="34" t="s">
        <v>362</v>
      </c>
      <c r="C42" s="34" t="s">
        <v>363</v>
      </c>
      <c r="D42" s="34" t="str">
        <f>"0,5664"</f>
        <v>0,5664</v>
      </c>
      <c r="E42" s="34" t="s">
        <v>16</v>
      </c>
      <c r="F42" s="34" t="s">
        <v>364</v>
      </c>
      <c r="G42" s="35" t="s">
        <v>153</v>
      </c>
      <c r="H42" s="47" t="s">
        <v>365</v>
      </c>
      <c r="I42" s="47" t="s">
        <v>365</v>
      </c>
      <c r="J42" s="47"/>
      <c r="K42" s="40" t="str">
        <f>"150,0"</f>
        <v>150,0</v>
      </c>
      <c r="L42" s="41" t="str">
        <f>"84,9675"</f>
        <v>84,9675</v>
      </c>
      <c r="M42" s="34" t="s">
        <v>21</v>
      </c>
    </row>
    <row r="43" spans="1:13">
      <c r="A43" s="36" t="s">
        <v>366</v>
      </c>
      <c r="B43" s="36" t="s">
        <v>367</v>
      </c>
      <c r="C43" s="36" t="s">
        <v>368</v>
      </c>
      <c r="D43" s="36" t="str">
        <f>"0,5648"</f>
        <v>0,5648</v>
      </c>
      <c r="E43" s="36" t="s">
        <v>16</v>
      </c>
      <c r="F43" s="36" t="s">
        <v>369</v>
      </c>
      <c r="G43" s="50" t="s">
        <v>370</v>
      </c>
      <c r="H43" s="37" t="s">
        <v>370</v>
      </c>
      <c r="I43" s="50" t="s">
        <v>371</v>
      </c>
      <c r="J43" s="50"/>
      <c r="K43" s="42" t="str">
        <f>"142,5"</f>
        <v>142,5</v>
      </c>
      <c r="L43" s="43" t="str">
        <f>"80,4911"</f>
        <v>80,4911</v>
      </c>
      <c r="M43" s="36" t="s">
        <v>21</v>
      </c>
    </row>
    <row r="44" spans="1:13">
      <c r="A44" s="36" t="s">
        <v>372</v>
      </c>
      <c r="B44" s="36" t="s">
        <v>373</v>
      </c>
      <c r="C44" s="36" t="s">
        <v>374</v>
      </c>
      <c r="D44" s="36" t="str">
        <f>"0,5681"</f>
        <v>0,5681</v>
      </c>
      <c r="E44" s="36" t="s">
        <v>16</v>
      </c>
      <c r="F44" s="36" t="s">
        <v>55</v>
      </c>
      <c r="G44" s="37" t="s">
        <v>154</v>
      </c>
      <c r="H44" s="37" t="s">
        <v>146</v>
      </c>
      <c r="I44" s="50" t="s">
        <v>147</v>
      </c>
      <c r="J44" s="50"/>
      <c r="K44" s="42" t="str">
        <f>"170,0"</f>
        <v>170,0</v>
      </c>
      <c r="L44" s="43" t="str">
        <f>"105,9450"</f>
        <v>105,9450</v>
      </c>
      <c r="M44" s="36" t="s">
        <v>21</v>
      </c>
    </row>
    <row r="45" spans="1:13">
      <c r="A45" s="36" t="s">
        <v>375</v>
      </c>
      <c r="B45" s="36" t="s">
        <v>376</v>
      </c>
      <c r="C45" s="36" t="s">
        <v>377</v>
      </c>
      <c r="D45" s="36" t="str">
        <f>"0,5740"</f>
        <v>0,5740</v>
      </c>
      <c r="E45" s="36" t="s">
        <v>248</v>
      </c>
      <c r="F45" s="36" t="s">
        <v>55</v>
      </c>
      <c r="G45" s="37" t="s">
        <v>330</v>
      </c>
      <c r="H45" s="50" t="s">
        <v>154</v>
      </c>
      <c r="I45" s="50"/>
      <c r="J45" s="50"/>
      <c r="K45" s="42" t="str">
        <f>"157,5"</f>
        <v>157,5</v>
      </c>
      <c r="L45" s="43" t="str">
        <f>"103,6945"</f>
        <v>103,6945</v>
      </c>
      <c r="M45" s="36" t="s">
        <v>21</v>
      </c>
    </row>
    <row r="46" spans="1:13">
      <c r="A46" s="36" t="s">
        <v>378</v>
      </c>
      <c r="B46" s="36" t="s">
        <v>379</v>
      </c>
      <c r="C46" s="36" t="s">
        <v>380</v>
      </c>
      <c r="D46" s="36" t="str">
        <f>"0,5692"</f>
        <v>0,5692</v>
      </c>
      <c r="E46" s="36" t="s">
        <v>248</v>
      </c>
      <c r="F46" s="36" t="s">
        <v>55</v>
      </c>
      <c r="G46" s="37" t="s">
        <v>234</v>
      </c>
      <c r="H46" s="37" t="s">
        <v>330</v>
      </c>
      <c r="I46" s="50" t="s">
        <v>154</v>
      </c>
      <c r="J46" s="50"/>
      <c r="K46" s="42" t="str">
        <f>"157,5"</f>
        <v>157,5</v>
      </c>
      <c r="L46" s="43" t="str">
        <f>"104,4411"</f>
        <v>104,4411</v>
      </c>
      <c r="M46" s="36" t="s">
        <v>21</v>
      </c>
    </row>
    <row r="47" spans="1:13">
      <c r="A47" s="38" t="s">
        <v>381</v>
      </c>
      <c r="B47" s="38" t="s">
        <v>382</v>
      </c>
      <c r="C47" s="38" t="s">
        <v>383</v>
      </c>
      <c r="D47" s="38" t="str">
        <f>"0,5641"</f>
        <v>0,5641</v>
      </c>
      <c r="E47" s="38" t="s">
        <v>248</v>
      </c>
      <c r="F47" s="38" t="s">
        <v>384</v>
      </c>
      <c r="G47" s="39" t="s">
        <v>129</v>
      </c>
      <c r="H47" s="39" t="s">
        <v>315</v>
      </c>
      <c r="I47" s="39" t="s">
        <v>310</v>
      </c>
      <c r="J47" s="48"/>
      <c r="K47" s="44" t="str">
        <f>"130,0"</f>
        <v>130,0</v>
      </c>
      <c r="L47" s="45" t="str">
        <f>"102,1438"</f>
        <v>102,1438</v>
      </c>
      <c r="M47" s="38" t="s">
        <v>21</v>
      </c>
    </row>
    <row r="49" ht="15.75" spans="1:10">
      <c r="A49" s="19" t="s">
        <v>209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3">
      <c r="A50" s="17" t="s">
        <v>385</v>
      </c>
      <c r="B50" s="17" t="s">
        <v>386</v>
      </c>
      <c r="C50" s="17" t="s">
        <v>387</v>
      </c>
      <c r="D50" s="17" t="str">
        <f>"0,5345"</f>
        <v>0,5345</v>
      </c>
      <c r="E50" s="17" t="s">
        <v>248</v>
      </c>
      <c r="F50" s="17" t="s">
        <v>55</v>
      </c>
      <c r="G50" s="18" t="s">
        <v>388</v>
      </c>
      <c r="H50" s="18" t="s">
        <v>389</v>
      </c>
      <c r="I50" s="46" t="s">
        <v>390</v>
      </c>
      <c r="J50" s="46"/>
      <c r="K50" s="32" t="str">
        <f>"177,5"</f>
        <v>177,5</v>
      </c>
      <c r="L50" s="33" t="str">
        <f>"120,3033"</f>
        <v>120,3033</v>
      </c>
      <c r="M50" s="17" t="s">
        <v>21</v>
      </c>
    </row>
    <row r="52" ht="15.75" spans="5:5">
      <c r="E52" s="21" t="s">
        <v>29</v>
      </c>
    </row>
    <row r="53" ht="15.75" spans="5:5">
      <c r="E53" s="21" t="s">
        <v>30</v>
      </c>
    </row>
    <row r="54" ht="15.75" spans="5:5">
      <c r="E54" s="21" t="s">
        <v>31</v>
      </c>
    </row>
    <row r="55" ht="15.75" spans="5:5">
      <c r="E55" s="21" t="s">
        <v>32</v>
      </c>
    </row>
    <row r="56" ht="15.75" spans="5:5">
      <c r="E56" s="21" t="s">
        <v>32</v>
      </c>
    </row>
    <row r="57" ht="15.75" spans="5:5">
      <c r="E57" s="21" t="s">
        <v>33</v>
      </c>
    </row>
    <row r="58" ht="15.75" spans="5:5">
      <c r="E58" s="21"/>
    </row>
    <row r="60" ht="18.75" spans="1:2">
      <c r="A60" s="22" t="s">
        <v>34</v>
      </c>
      <c r="B60" s="22"/>
    </row>
    <row r="61" ht="15.75" spans="1:2">
      <c r="A61" s="23" t="s">
        <v>175</v>
      </c>
      <c r="B61" s="23"/>
    </row>
    <row r="62" ht="15" spans="1:2">
      <c r="A62" s="24"/>
      <c r="B62" s="25" t="s">
        <v>391</v>
      </c>
    </row>
    <row r="63" ht="14.25" spans="1:5">
      <c r="A63" s="26" t="s">
        <v>37</v>
      </c>
      <c r="B63" s="26" t="s">
        <v>38</v>
      </c>
      <c r="C63" s="26" t="s">
        <v>39</v>
      </c>
      <c r="D63" s="26" t="s">
        <v>40</v>
      </c>
      <c r="E63" s="26" t="s">
        <v>41</v>
      </c>
    </row>
    <row r="64" spans="1:5">
      <c r="A64" s="27" t="s">
        <v>392</v>
      </c>
      <c r="B64" s="3" t="s">
        <v>99</v>
      </c>
      <c r="C64" s="3" t="s">
        <v>107</v>
      </c>
      <c r="D64" s="3" t="s">
        <v>274</v>
      </c>
      <c r="E64" s="5" t="s">
        <v>393</v>
      </c>
    </row>
    <row r="65" spans="1:5">
      <c r="A65" s="27" t="s">
        <v>394</v>
      </c>
      <c r="B65" s="3" t="s">
        <v>395</v>
      </c>
      <c r="C65" s="3" t="s">
        <v>396</v>
      </c>
      <c r="D65" s="3" t="s">
        <v>284</v>
      </c>
      <c r="E65" s="5" t="s">
        <v>397</v>
      </c>
    </row>
    <row r="67" ht="15" spans="1:2">
      <c r="A67" s="24"/>
      <c r="B67" s="25" t="s">
        <v>36</v>
      </c>
    </row>
    <row r="68" ht="14.25" spans="1:5">
      <c r="A68" s="26" t="s">
        <v>37</v>
      </c>
      <c r="B68" s="26" t="s">
        <v>38</v>
      </c>
      <c r="C68" s="26" t="s">
        <v>39</v>
      </c>
      <c r="D68" s="26" t="s">
        <v>40</v>
      </c>
      <c r="E68" s="26" t="s">
        <v>41</v>
      </c>
    </row>
    <row r="69" spans="1:5">
      <c r="A69" s="27" t="s">
        <v>398</v>
      </c>
      <c r="B69" s="3" t="s">
        <v>36</v>
      </c>
      <c r="C69" s="3" t="s">
        <v>396</v>
      </c>
      <c r="D69" s="3" t="s">
        <v>70</v>
      </c>
      <c r="E69" s="5" t="s">
        <v>399</v>
      </c>
    </row>
    <row r="71" ht="15" spans="1:2">
      <c r="A71" s="24"/>
      <c r="B71" s="25" t="s">
        <v>45</v>
      </c>
    </row>
    <row r="72" ht="14.25" spans="1:5">
      <c r="A72" s="26" t="s">
        <v>37</v>
      </c>
      <c r="B72" s="26" t="s">
        <v>38</v>
      </c>
      <c r="C72" s="26" t="s">
        <v>39</v>
      </c>
      <c r="D72" s="26" t="s">
        <v>40</v>
      </c>
      <c r="E72" s="26" t="s">
        <v>41</v>
      </c>
    </row>
    <row r="73" spans="1:5">
      <c r="A73" s="27" t="s">
        <v>400</v>
      </c>
      <c r="B73" s="3" t="s">
        <v>259</v>
      </c>
      <c r="C73" s="3" t="s">
        <v>401</v>
      </c>
      <c r="D73" s="3" t="s">
        <v>57</v>
      </c>
      <c r="E73" s="5" t="s">
        <v>402</v>
      </c>
    </row>
    <row r="76" ht="15.75" spans="1:2">
      <c r="A76" s="23" t="s">
        <v>35</v>
      </c>
      <c r="B76" s="23"/>
    </row>
    <row r="77" ht="15" spans="1:2">
      <c r="A77" s="24"/>
      <c r="B77" s="25" t="s">
        <v>93</v>
      </c>
    </row>
    <row r="78" ht="14.25" spans="1:5">
      <c r="A78" s="26" t="s">
        <v>37</v>
      </c>
      <c r="B78" s="26" t="s">
        <v>38</v>
      </c>
      <c r="C78" s="26" t="s">
        <v>39</v>
      </c>
      <c r="D78" s="26" t="s">
        <v>40</v>
      </c>
      <c r="E78" s="26" t="s">
        <v>41</v>
      </c>
    </row>
    <row r="79" spans="1:5">
      <c r="A79" s="27" t="s">
        <v>403</v>
      </c>
      <c r="B79" s="3" t="s">
        <v>395</v>
      </c>
      <c r="C79" s="3" t="s">
        <v>96</v>
      </c>
      <c r="D79" s="3" t="s">
        <v>300</v>
      </c>
      <c r="E79" s="5" t="s">
        <v>404</v>
      </c>
    </row>
    <row r="80" spans="1:5">
      <c r="A80" s="27" t="s">
        <v>405</v>
      </c>
      <c r="B80" s="3" t="s">
        <v>395</v>
      </c>
      <c r="C80" s="3" t="s">
        <v>401</v>
      </c>
      <c r="D80" s="3" t="s">
        <v>56</v>
      </c>
      <c r="E80" s="5" t="s">
        <v>406</v>
      </c>
    </row>
    <row r="82" ht="15" spans="1:2">
      <c r="A82" s="24"/>
      <c r="B82" s="25" t="s">
        <v>101</v>
      </c>
    </row>
    <row r="83" ht="14.25" spans="1:5">
      <c r="A83" s="26" t="s">
        <v>37</v>
      </c>
      <c r="B83" s="26" t="s">
        <v>38</v>
      </c>
      <c r="C83" s="26" t="s">
        <v>39</v>
      </c>
      <c r="D83" s="26" t="s">
        <v>40</v>
      </c>
      <c r="E83" s="26" t="s">
        <v>41</v>
      </c>
    </row>
    <row r="84" spans="1:5">
      <c r="A84" s="27" t="s">
        <v>407</v>
      </c>
      <c r="B84" s="3" t="s">
        <v>103</v>
      </c>
      <c r="C84" s="3" t="s">
        <v>48</v>
      </c>
      <c r="D84" s="3" t="s">
        <v>153</v>
      </c>
      <c r="E84" s="5" t="s">
        <v>408</v>
      </c>
    </row>
    <row r="85" spans="1:5">
      <c r="A85" s="27" t="s">
        <v>409</v>
      </c>
      <c r="B85" s="3" t="s">
        <v>103</v>
      </c>
      <c r="C85" s="3" t="s">
        <v>96</v>
      </c>
      <c r="D85" s="3" t="s">
        <v>305</v>
      </c>
      <c r="E85" s="5" t="s">
        <v>410</v>
      </c>
    </row>
    <row r="87" ht="15" spans="1:2">
      <c r="A87" s="24"/>
      <c r="B87" s="25" t="s">
        <v>36</v>
      </c>
    </row>
    <row r="88" ht="14.25" spans="1:5">
      <c r="A88" s="26" t="s">
        <v>37</v>
      </c>
      <c r="B88" s="26" t="s">
        <v>38</v>
      </c>
      <c r="C88" s="26" t="s">
        <v>39</v>
      </c>
      <c r="D88" s="26" t="s">
        <v>40</v>
      </c>
      <c r="E88" s="26" t="s">
        <v>41</v>
      </c>
    </row>
    <row r="89" spans="1:5">
      <c r="A89" s="27" t="s">
        <v>411</v>
      </c>
      <c r="B89" s="3" t="s">
        <v>36</v>
      </c>
      <c r="C89" s="3" t="s">
        <v>96</v>
      </c>
      <c r="D89" s="3" t="s">
        <v>130</v>
      </c>
      <c r="E89" s="5" t="s">
        <v>412</v>
      </c>
    </row>
    <row r="90" spans="1:5">
      <c r="A90" s="27" t="s">
        <v>413</v>
      </c>
      <c r="B90" s="3" t="s">
        <v>36</v>
      </c>
      <c r="C90" s="3" t="s">
        <v>48</v>
      </c>
      <c r="D90" s="3" t="s">
        <v>130</v>
      </c>
      <c r="E90" s="5" t="s">
        <v>414</v>
      </c>
    </row>
    <row r="91" spans="1:5">
      <c r="A91" s="27" t="s">
        <v>415</v>
      </c>
      <c r="B91" s="3" t="s">
        <v>36</v>
      </c>
      <c r="C91" s="3" t="s">
        <v>96</v>
      </c>
      <c r="D91" s="3" t="s">
        <v>315</v>
      </c>
      <c r="E91" s="5" t="s">
        <v>416</v>
      </c>
    </row>
    <row r="92" spans="1:5">
      <c r="A92" s="27" t="s">
        <v>417</v>
      </c>
      <c r="B92" s="3" t="s">
        <v>36</v>
      </c>
      <c r="C92" s="3" t="s">
        <v>104</v>
      </c>
      <c r="D92" s="3" t="s">
        <v>268</v>
      </c>
      <c r="E92" s="5" t="s">
        <v>418</v>
      </c>
    </row>
    <row r="93" spans="1:5">
      <c r="A93" s="27" t="s">
        <v>419</v>
      </c>
      <c r="B93" s="3" t="s">
        <v>36</v>
      </c>
      <c r="C93" s="3" t="s">
        <v>252</v>
      </c>
      <c r="D93" s="3" t="s">
        <v>153</v>
      </c>
      <c r="E93" s="5" t="s">
        <v>420</v>
      </c>
    </row>
    <row r="94" spans="1:5">
      <c r="A94" s="27" t="s">
        <v>421</v>
      </c>
      <c r="B94" s="3" t="s">
        <v>36</v>
      </c>
      <c r="C94" s="3" t="s">
        <v>48</v>
      </c>
      <c r="D94" s="3" t="s">
        <v>310</v>
      </c>
      <c r="E94" s="5" t="s">
        <v>422</v>
      </c>
    </row>
    <row r="95" spans="1:5">
      <c r="A95" s="27" t="s">
        <v>423</v>
      </c>
      <c r="B95" s="3" t="s">
        <v>36</v>
      </c>
      <c r="C95" s="3" t="s">
        <v>96</v>
      </c>
      <c r="D95" s="3" t="s">
        <v>128</v>
      </c>
      <c r="E95" s="5" t="s">
        <v>424</v>
      </c>
    </row>
    <row r="96" spans="1:5">
      <c r="A96" s="27" t="s">
        <v>425</v>
      </c>
      <c r="B96" s="3" t="s">
        <v>36</v>
      </c>
      <c r="C96" s="3" t="s">
        <v>43</v>
      </c>
      <c r="D96" s="3" t="s">
        <v>129</v>
      </c>
      <c r="E96" s="5" t="s">
        <v>426</v>
      </c>
    </row>
    <row r="97" spans="1:5">
      <c r="A97" s="27" t="s">
        <v>427</v>
      </c>
      <c r="B97" s="3" t="s">
        <v>36</v>
      </c>
      <c r="C97" s="3" t="s">
        <v>96</v>
      </c>
      <c r="D97" s="3" t="s">
        <v>320</v>
      </c>
      <c r="E97" s="5" t="s">
        <v>428</v>
      </c>
    </row>
    <row r="98" spans="1:5">
      <c r="A98" s="27" t="s">
        <v>429</v>
      </c>
      <c r="B98" s="3" t="s">
        <v>36</v>
      </c>
      <c r="C98" s="3" t="s">
        <v>48</v>
      </c>
      <c r="D98" s="3" t="s">
        <v>343</v>
      </c>
      <c r="E98" s="5" t="s">
        <v>430</v>
      </c>
    </row>
    <row r="100" ht="15" spans="1:2">
      <c r="A100" s="24"/>
      <c r="B100" s="25" t="s">
        <v>45</v>
      </c>
    </row>
    <row r="101" ht="14.25" spans="1:5">
      <c r="A101" s="26" t="s">
        <v>37</v>
      </c>
      <c r="B101" s="26" t="s">
        <v>38</v>
      </c>
      <c r="C101" s="26" t="s">
        <v>39</v>
      </c>
      <c r="D101" s="26" t="s">
        <v>40</v>
      </c>
      <c r="E101" s="26" t="s">
        <v>41</v>
      </c>
    </row>
    <row r="102" spans="1:5">
      <c r="A102" s="27" t="s">
        <v>431</v>
      </c>
      <c r="B102" s="3" t="s">
        <v>432</v>
      </c>
      <c r="C102" s="3" t="s">
        <v>222</v>
      </c>
      <c r="D102" s="3" t="s">
        <v>389</v>
      </c>
      <c r="E102" s="5" t="s">
        <v>433</v>
      </c>
    </row>
    <row r="103" spans="1:5">
      <c r="A103" s="27" t="s">
        <v>434</v>
      </c>
      <c r="B103" s="3" t="s">
        <v>259</v>
      </c>
      <c r="C103" s="3" t="s">
        <v>252</v>
      </c>
      <c r="D103" s="3" t="s">
        <v>146</v>
      </c>
      <c r="E103" s="5" t="s">
        <v>435</v>
      </c>
    </row>
    <row r="104" spans="1:5">
      <c r="A104" s="27" t="s">
        <v>436</v>
      </c>
      <c r="B104" s="3" t="s">
        <v>261</v>
      </c>
      <c r="C104" s="3" t="s">
        <v>252</v>
      </c>
      <c r="D104" s="3" t="s">
        <v>330</v>
      </c>
      <c r="E104" s="5" t="s">
        <v>437</v>
      </c>
    </row>
    <row r="105" spans="1:5">
      <c r="A105" s="27" t="s">
        <v>438</v>
      </c>
      <c r="B105" s="3" t="s">
        <v>261</v>
      </c>
      <c r="C105" s="3" t="s">
        <v>252</v>
      </c>
      <c r="D105" s="3" t="s">
        <v>330</v>
      </c>
      <c r="E105" s="5" t="s">
        <v>439</v>
      </c>
    </row>
    <row r="106" spans="1:5">
      <c r="A106" s="27" t="s">
        <v>440</v>
      </c>
      <c r="B106" s="3" t="s">
        <v>441</v>
      </c>
      <c r="C106" s="3" t="s">
        <v>252</v>
      </c>
      <c r="D106" s="3" t="s">
        <v>310</v>
      </c>
      <c r="E106" s="5" t="s">
        <v>442</v>
      </c>
    </row>
    <row r="107" spans="1:5">
      <c r="A107" s="27" t="s">
        <v>427</v>
      </c>
      <c r="B107" s="3" t="s">
        <v>432</v>
      </c>
      <c r="C107" s="3" t="s">
        <v>96</v>
      </c>
      <c r="D107" s="3" t="s">
        <v>320</v>
      </c>
      <c r="E107" s="5" t="s">
        <v>443</v>
      </c>
    </row>
    <row r="108" spans="1:5">
      <c r="A108" s="27" t="s">
        <v>444</v>
      </c>
      <c r="B108" s="3" t="s">
        <v>47</v>
      </c>
      <c r="C108" s="3" t="s">
        <v>252</v>
      </c>
      <c r="D108" s="3" t="s">
        <v>370</v>
      </c>
      <c r="E108" s="5" t="s">
        <v>445</v>
      </c>
    </row>
    <row r="109" spans="1:5">
      <c r="A109" s="27" t="s">
        <v>446</v>
      </c>
      <c r="B109" s="3" t="s">
        <v>259</v>
      </c>
      <c r="C109" s="3" t="s">
        <v>104</v>
      </c>
      <c r="D109" s="3" t="s">
        <v>360</v>
      </c>
      <c r="E109" s="5" t="s">
        <v>447</v>
      </c>
    </row>
  </sheetData>
  <mergeCells count="21">
    <mergeCell ref="G3:J3"/>
    <mergeCell ref="A5:J5"/>
    <mergeCell ref="A9:J9"/>
    <mergeCell ref="A12:J12"/>
    <mergeCell ref="A15:J15"/>
    <mergeCell ref="A18:J18"/>
    <mergeCell ref="A27:J27"/>
    <mergeCell ref="A34:J34"/>
    <mergeCell ref="A37:J37"/>
    <mergeCell ref="A41:J41"/>
    <mergeCell ref="A49:J49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:Y2"/>
    </sheetView>
  </sheetViews>
  <sheetFormatPr defaultColWidth="9.11111111111111" defaultRowHeight="12.75"/>
  <cols>
    <col min="1" max="1" width="24.6666666666667" style="3" customWidth="1"/>
    <col min="2" max="2" width="25.2222222222222" style="3" customWidth="1"/>
    <col min="3" max="3" width="14.8888888888889" style="3" customWidth="1"/>
    <col min="4" max="4" width="6.55555555555556" style="3" customWidth="1"/>
    <col min="5" max="5" width="21.7777777777778" style="3" customWidth="1"/>
    <col min="6" max="6" width="14.7777777777778" style="3" customWidth="1"/>
    <col min="7" max="9" width="2.11111111111111" style="4" customWidth="1"/>
    <col min="10" max="10" width="4.55555555555556" style="4" customWidth="1"/>
    <col min="11" max="13" width="2.11111111111111" style="4" customWidth="1"/>
    <col min="14" max="14" width="4.55555555555556" style="4" customWidth="1"/>
    <col min="15" max="17" width="2.11111111111111" style="4" customWidth="1"/>
    <col min="18" max="18" width="4.55555555555556" style="4" customWidth="1"/>
    <col min="19" max="19" width="7.66666666666667" style="5" customWidth="1"/>
    <col min="20" max="20" width="5.88888888888889" style="1" customWidth="1"/>
    <col min="21" max="21" width="8.33333333333333" style="3" customWidth="1"/>
    <col min="22" max="16384" width="9.11111111111111" style="4"/>
  </cols>
  <sheetData>
    <row r="1" s="1" customFormat="1" ht="28.95" customHeight="1" spans="1:21">
      <c r="A1" s="6" t="s">
        <v>448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8"/>
    </row>
    <row r="2" s="1" customFormat="1" ht="61.95" customHeight="1" spans="1: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</row>
    <row r="3" s="2" customFormat="1" customHeight="1" spans="1:21">
      <c r="A3" s="10" t="s">
        <v>1</v>
      </c>
      <c r="B3" s="11" t="s">
        <v>2</v>
      </c>
      <c r="C3" s="11" t="s">
        <v>3</v>
      </c>
      <c r="D3" s="12"/>
      <c r="E3" s="12" t="s">
        <v>5</v>
      </c>
      <c r="F3" s="12" t="s">
        <v>6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 t="s">
        <v>449</v>
      </c>
      <c r="T3" s="12" t="s">
        <v>9</v>
      </c>
      <c r="U3" s="30" t="s">
        <v>10</v>
      </c>
    </row>
    <row r="4" s="2" customFormat="1" ht="21" customHeight="1" spans="1:21">
      <c r="A4" s="13"/>
      <c r="B4" s="14"/>
      <c r="C4" s="14"/>
      <c r="D4" s="14"/>
      <c r="E4" s="14"/>
      <c r="F4" s="14"/>
      <c r="G4" s="14">
        <v>1</v>
      </c>
      <c r="H4" s="14">
        <v>2</v>
      </c>
      <c r="I4" s="14">
        <v>3</v>
      </c>
      <c r="J4" s="14" t="s">
        <v>11</v>
      </c>
      <c r="K4" s="14">
        <v>1</v>
      </c>
      <c r="L4" s="14">
        <v>2</v>
      </c>
      <c r="M4" s="14">
        <v>3</v>
      </c>
      <c r="N4" s="14" t="s">
        <v>11</v>
      </c>
      <c r="O4" s="14">
        <v>1</v>
      </c>
      <c r="P4" s="14">
        <v>2</v>
      </c>
      <c r="Q4" s="14">
        <v>3</v>
      </c>
      <c r="R4" s="14" t="s">
        <v>11</v>
      </c>
      <c r="S4" s="14"/>
      <c r="T4" s="14"/>
      <c r="U4" s="31"/>
    </row>
    <row r="5" spans="7:7">
      <c r="G5" s="49"/>
    </row>
    <row r="6" ht="15.75" spans="5:5">
      <c r="E6" s="21" t="s">
        <v>29</v>
      </c>
    </row>
    <row r="7" ht="15.75" spans="5:5">
      <c r="E7" s="21" t="s">
        <v>30</v>
      </c>
    </row>
    <row r="8" ht="15.75" spans="5:5">
      <c r="E8" s="21" t="s">
        <v>31</v>
      </c>
    </row>
    <row r="9" ht="15.75" spans="5:5">
      <c r="E9" s="21" t="s">
        <v>32</v>
      </c>
    </row>
    <row r="10" ht="15.75" spans="5:5">
      <c r="E10" s="21" t="s">
        <v>32</v>
      </c>
    </row>
    <row r="11" ht="15.75" spans="5:5">
      <c r="E11" s="21" t="s">
        <v>33</v>
      </c>
    </row>
    <row r="12" ht="15.75" spans="5:5">
      <c r="E12" s="21"/>
    </row>
    <row r="14" ht="18.75" spans="1:2">
      <c r="A14" s="22" t="s">
        <v>34</v>
      </c>
      <c r="B14" s="22"/>
    </row>
  </sheetData>
  <mergeCells count="13">
    <mergeCell ref="G3:J3"/>
    <mergeCell ref="K3:N3"/>
    <mergeCell ref="O3:R3"/>
    <mergeCell ref="A3:A4"/>
    <mergeCell ref="B3:B4"/>
    <mergeCell ref="C3:C4"/>
    <mergeCell ref="D3:D4"/>
    <mergeCell ref="E3:E4"/>
    <mergeCell ref="F3:F4"/>
    <mergeCell ref="S3:S4"/>
    <mergeCell ref="T3:T4"/>
    <mergeCell ref="U3:U4"/>
    <mergeCell ref="A1:U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WPC стр. под.на биц</vt:lpstr>
      <vt:lpstr>AWPC стр. под.на биц</vt:lpstr>
      <vt:lpstr>AWPC б_э тяга</vt:lpstr>
      <vt:lpstr>WPC б_э тяга</vt:lpstr>
      <vt:lpstr>AWPC ст. софт эк. жим</vt:lpstr>
      <vt:lpstr>AWPC 1 слой жим</vt:lpstr>
      <vt:lpstr>AWPC жим стоя</vt:lpstr>
      <vt:lpstr>AWPC б_э жим</vt:lpstr>
      <vt:lpstr>AWPC 1 слой ПЛ</vt:lpstr>
      <vt:lpstr>AWPC Класс. ПЛ</vt:lpstr>
      <vt:lpstr>AWPC б_э ПЛ</vt:lpstr>
      <vt:lpstr>WPC б_э жим</vt:lpstr>
      <vt:lpstr>WPC класс. ПЛ</vt:lpstr>
      <vt:lpstr>WPC б_э ПЛ</vt:lpstr>
      <vt:lpstr>Excalibur</vt:lpstr>
      <vt:lpstr>Rus Axle</vt:lpstr>
      <vt:lpstr>Rus Roullette</vt:lpstr>
      <vt:lpstr>AWPC НЖ 1 вес</vt:lpstr>
      <vt:lpstr>WPC НЖ 1 вес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Oleg</cp:lastModifiedBy>
  <dcterms:created xsi:type="dcterms:W3CDTF">2002-06-16T13:36:00Z</dcterms:created>
  <cp:lastPrinted>2015-07-16T19:10:00Z</cp:lastPrinted>
  <dcterms:modified xsi:type="dcterms:W3CDTF">2022-02-14T13:49:20Z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CB13A7C3633B4C3DA2DDDEAB20A1A6C0</vt:lpwstr>
  </property>
  <property fmtid="{D5CDD505-2E9C-101B-9397-08002B2CF9AE}" pid="3" name="KSOProductBuildVer">
    <vt:lpwstr>1049-11.2.0.10463</vt:lpwstr>
  </property>
</Properties>
</file>