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wpcsa\Desktop\"/>
    </mc:Choice>
  </mc:AlternateContent>
  <xr:revisionPtr revIDLastSave="0" documentId="13_ncr:1_{2B576C9E-22E9-4A48-B551-1B2FD219BA33}" xr6:coauthVersionLast="40" xr6:coauthVersionMax="40" xr10:uidLastSave="{00000000-0000-0000-0000-000000000000}"/>
  <bookViews>
    <workbookView xWindow="795" yWindow="390" windowWidth="15375" windowHeight="8325" xr2:uid="{00000000-000D-0000-FFFF-FFFF00000000}"/>
  </bookViews>
  <sheets>
    <sheet name="WPC НЖ 1 вес" sheetId="18" r:id="rId1"/>
    <sheet name="AWPC НЖ 1 вес" sheetId="17" r:id="rId2"/>
    <sheet name="AWPC б_э тяга" sheetId="16" r:id="rId3"/>
    <sheet name="WPC б_э тяга" sheetId="15" r:id="rId4"/>
    <sheet name="AWPC стд. софт эк. жим" sheetId="14" r:id="rId5"/>
    <sheet name="AWPC 1 слой жим" sheetId="13" r:id="rId6"/>
    <sheet name="AWPC б_э жим" sheetId="12" r:id="rId7"/>
    <sheet name="AWPC Класс. ПЛ RAW" sheetId="11" r:id="rId8"/>
    <sheet name="AWPC б_э ПЛ" sheetId="10" r:id="rId9"/>
    <sheet name="WPC б_э жим" sheetId="7" r:id="rId10"/>
    <sheet name="WPC класс. ПЛ RAW" sheetId="6" r:id="rId11"/>
    <sheet name="WPC б_э ПЛ" sheetId="5" r:id="rId12"/>
  </sheets>
  <definedNames>
    <definedName name="_FilterDatabase" localSheetId="11" hidden="1">'WPC б_э ПЛ'!$A$1:$S$3</definedName>
  </definedNames>
  <calcPr calcId="181029" refMode="R1C1"/>
</workbook>
</file>

<file path=xl/calcChain.xml><?xml version="1.0" encoding="utf-8"?>
<calcChain xmlns="http://schemas.openxmlformats.org/spreadsheetml/2006/main">
  <c r="J12" i="18" l="1"/>
  <c r="I12" i="18"/>
  <c r="D12" i="18"/>
  <c r="J9" i="18"/>
  <c r="I9" i="18"/>
  <c r="D9" i="18"/>
  <c r="J6" i="18"/>
  <c r="I6" i="18"/>
  <c r="D6" i="18"/>
  <c r="J15" i="17"/>
  <c r="I15" i="17"/>
  <c r="D15" i="17"/>
  <c r="J12" i="17"/>
  <c r="I12" i="17"/>
  <c r="D12" i="17"/>
  <c r="J11" i="17"/>
  <c r="I11" i="17"/>
  <c r="D11" i="17"/>
  <c r="J8" i="17"/>
  <c r="I8" i="17"/>
  <c r="D8" i="17"/>
  <c r="J7" i="17"/>
  <c r="I7" i="17"/>
  <c r="D7" i="17"/>
  <c r="J6" i="17"/>
  <c r="I6" i="17"/>
  <c r="D6" i="17"/>
  <c r="L56" i="16"/>
  <c r="K56" i="16"/>
  <c r="D56" i="16"/>
  <c r="L55" i="16"/>
  <c r="K55" i="16"/>
  <c r="D55" i="16"/>
  <c r="L52" i="16"/>
  <c r="K52" i="16"/>
  <c r="D52" i="16"/>
  <c r="L51" i="16"/>
  <c r="K51" i="16"/>
  <c r="D51" i="16"/>
  <c r="L48" i="16"/>
  <c r="K48" i="16"/>
  <c r="D48" i="16"/>
  <c r="L47" i="16"/>
  <c r="K47" i="16"/>
  <c r="D47" i="16"/>
  <c r="L44" i="16"/>
  <c r="K44" i="16"/>
  <c r="D44" i="16"/>
  <c r="L43" i="16"/>
  <c r="K43" i="16"/>
  <c r="D43" i="16"/>
  <c r="L42" i="16"/>
  <c r="K42" i="16"/>
  <c r="D42" i="16"/>
  <c r="L39" i="16"/>
  <c r="K39" i="16"/>
  <c r="D39" i="16"/>
  <c r="L38" i="16"/>
  <c r="K38" i="16"/>
  <c r="D38" i="16"/>
  <c r="L37" i="16"/>
  <c r="K37" i="16"/>
  <c r="D37" i="16"/>
  <c r="L36" i="16"/>
  <c r="K36" i="16"/>
  <c r="D36" i="16"/>
  <c r="L35" i="16"/>
  <c r="K35" i="16"/>
  <c r="D35" i="16"/>
  <c r="L32" i="16"/>
  <c r="K32" i="16"/>
  <c r="D32" i="16"/>
  <c r="L31" i="16"/>
  <c r="K31" i="16"/>
  <c r="D31" i="16"/>
  <c r="L30" i="16"/>
  <c r="K30" i="16"/>
  <c r="D30" i="16"/>
  <c r="L29" i="16"/>
  <c r="K29" i="16"/>
  <c r="D29" i="16"/>
  <c r="L28" i="16"/>
  <c r="K28" i="16"/>
  <c r="D28" i="16"/>
  <c r="L27" i="16"/>
  <c r="K27" i="16"/>
  <c r="D27" i="16"/>
  <c r="L24" i="16"/>
  <c r="K24" i="16"/>
  <c r="D24" i="16"/>
  <c r="L23" i="16"/>
  <c r="K23" i="16"/>
  <c r="D23" i="16"/>
  <c r="L20" i="16"/>
  <c r="K20" i="16"/>
  <c r="D20" i="16"/>
  <c r="L19" i="16"/>
  <c r="K19" i="16"/>
  <c r="D19" i="16"/>
  <c r="L18" i="16"/>
  <c r="K18" i="16"/>
  <c r="D18" i="16"/>
  <c r="L15" i="16"/>
  <c r="K15" i="16"/>
  <c r="D15" i="16"/>
  <c r="L12" i="16"/>
  <c r="K12" i="16"/>
  <c r="D12" i="16"/>
  <c r="L11" i="16"/>
  <c r="K11" i="16"/>
  <c r="D11" i="16"/>
  <c r="L10" i="16"/>
  <c r="K10" i="16"/>
  <c r="D10" i="16"/>
  <c r="L7" i="16"/>
  <c r="K7" i="16"/>
  <c r="D7" i="16"/>
  <c r="L6" i="16"/>
  <c r="K6" i="16"/>
  <c r="D6" i="16"/>
  <c r="L12" i="15"/>
  <c r="K12" i="15"/>
  <c r="D12" i="15"/>
  <c r="L9" i="15"/>
  <c r="K9" i="15"/>
  <c r="D9" i="15"/>
  <c r="L6" i="15"/>
  <c r="K6" i="15"/>
  <c r="D6" i="15"/>
  <c r="L18" i="14"/>
  <c r="K18" i="14"/>
  <c r="D18" i="14"/>
  <c r="L15" i="14"/>
  <c r="K15" i="14"/>
  <c r="D15" i="14"/>
  <c r="L12" i="14"/>
  <c r="K12" i="14"/>
  <c r="D12" i="14"/>
  <c r="L9" i="14"/>
  <c r="K9" i="14"/>
  <c r="D9" i="14"/>
  <c r="L6" i="14"/>
  <c r="K6" i="14"/>
  <c r="D6" i="14"/>
  <c r="L6" i="13"/>
  <c r="K6" i="13"/>
  <c r="D6" i="13"/>
  <c r="L66" i="12"/>
  <c r="K66" i="12"/>
  <c r="D66" i="12"/>
  <c r="L65" i="12"/>
  <c r="K65" i="12"/>
  <c r="D65" i="12"/>
  <c r="L64" i="12"/>
  <c r="K64" i="12"/>
  <c r="D64" i="12"/>
  <c r="L63" i="12"/>
  <c r="K63" i="12"/>
  <c r="D63" i="12"/>
  <c r="L60" i="12"/>
  <c r="K60" i="12"/>
  <c r="D60" i="12"/>
  <c r="L59" i="12"/>
  <c r="K59" i="12"/>
  <c r="D59" i="12"/>
  <c r="L58" i="12"/>
  <c r="K58" i="12"/>
  <c r="D58" i="12"/>
  <c r="L57" i="12"/>
  <c r="K57" i="12"/>
  <c r="D57" i="12"/>
  <c r="L56" i="12"/>
  <c r="K56" i="12"/>
  <c r="D56" i="12"/>
  <c r="L55" i="12"/>
  <c r="K55" i="12"/>
  <c r="D55" i="12"/>
  <c r="L54" i="12"/>
  <c r="K54" i="12"/>
  <c r="D54" i="12"/>
  <c r="L51" i="12"/>
  <c r="K51" i="12"/>
  <c r="D51" i="12"/>
  <c r="L50" i="12"/>
  <c r="K50" i="12"/>
  <c r="D50" i="12"/>
  <c r="L49" i="12"/>
  <c r="K49" i="12"/>
  <c r="D49" i="12"/>
  <c r="L48" i="12"/>
  <c r="K48" i="12"/>
  <c r="D48" i="12"/>
  <c r="L47" i="12"/>
  <c r="K47" i="12"/>
  <c r="D47" i="12"/>
  <c r="L44" i="12"/>
  <c r="K44" i="12"/>
  <c r="D44" i="12"/>
  <c r="L43" i="12"/>
  <c r="K43" i="12"/>
  <c r="D43" i="12"/>
  <c r="L42" i="12"/>
  <c r="K42" i="12"/>
  <c r="D42" i="12"/>
  <c r="L41" i="12"/>
  <c r="K41" i="12"/>
  <c r="D41" i="12"/>
  <c r="L40" i="12"/>
  <c r="K40" i="12"/>
  <c r="D40" i="12"/>
  <c r="L37" i="12"/>
  <c r="K37" i="12"/>
  <c r="D37" i="12"/>
  <c r="L36" i="12"/>
  <c r="K36" i="12"/>
  <c r="D36" i="12"/>
  <c r="L33" i="12"/>
  <c r="K33" i="12"/>
  <c r="D33" i="12"/>
  <c r="L32" i="12"/>
  <c r="K32" i="12"/>
  <c r="D32" i="12"/>
  <c r="L31" i="12"/>
  <c r="K31" i="12"/>
  <c r="D31" i="12"/>
  <c r="L30" i="12"/>
  <c r="K30" i="12"/>
  <c r="D30" i="12"/>
  <c r="L29" i="12"/>
  <c r="K29" i="12"/>
  <c r="D29" i="12"/>
  <c r="L26" i="12"/>
  <c r="K26" i="12"/>
  <c r="D26" i="12"/>
  <c r="L25" i="12"/>
  <c r="K25" i="12"/>
  <c r="D25" i="12"/>
  <c r="L24" i="12"/>
  <c r="K24" i="12"/>
  <c r="D24" i="12"/>
  <c r="L23" i="12"/>
  <c r="K23" i="12"/>
  <c r="D23" i="12"/>
  <c r="L22" i="12"/>
  <c r="K22" i="12"/>
  <c r="D22" i="12"/>
  <c r="L21" i="12"/>
  <c r="K21" i="12"/>
  <c r="D21" i="12"/>
  <c r="L18" i="12"/>
  <c r="K18" i="12"/>
  <c r="D18" i="12"/>
  <c r="L15" i="12"/>
  <c r="K15" i="12"/>
  <c r="D15" i="12"/>
  <c r="L12" i="12"/>
  <c r="K12" i="12"/>
  <c r="D12" i="12"/>
  <c r="L9" i="12"/>
  <c r="K9" i="12"/>
  <c r="D9" i="12"/>
  <c r="L6" i="12"/>
  <c r="K6" i="12"/>
  <c r="D6" i="12"/>
  <c r="T9" i="11"/>
  <c r="S9" i="11"/>
  <c r="D9" i="11"/>
  <c r="T6" i="11"/>
  <c r="S6" i="11"/>
  <c r="D6" i="11"/>
  <c r="T28" i="10"/>
  <c r="S28" i="10"/>
  <c r="D28" i="10"/>
  <c r="T27" i="10"/>
  <c r="S27" i="10"/>
  <c r="D27" i="10"/>
  <c r="T24" i="10"/>
  <c r="S24" i="10"/>
  <c r="D24" i="10"/>
  <c r="T21" i="10"/>
  <c r="S21" i="10"/>
  <c r="D21" i="10"/>
  <c r="T20" i="10"/>
  <c r="S20" i="10"/>
  <c r="D20" i="10"/>
  <c r="T17" i="10"/>
  <c r="S17" i="10"/>
  <c r="D17" i="10"/>
  <c r="T14" i="10"/>
  <c r="S14" i="10"/>
  <c r="D14" i="10"/>
  <c r="T13" i="10"/>
  <c r="S13" i="10"/>
  <c r="D13" i="10"/>
  <c r="T10" i="10"/>
  <c r="S10" i="10"/>
  <c r="D10" i="10"/>
  <c r="T7" i="10"/>
  <c r="S7" i="10"/>
  <c r="D7" i="10"/>
  <c r="T6" i="10"/>
  <c r="S6" i="10"/>
  <c r="D6" i="10"/>
  <c r="L22" i="7"/>
  <c r="K22" i="7"/>
  <c r="D22" i="7"/>
  <c r="L19" i="7"/>
  <c r="K19" i="7"/>
  <c r="D19" i="7"/>
  <c r="L16" i="7"/>
  <c r="K16" i="7"/>
  <c r="D16" i="7"/>
  <c r="L13" i="7"/>
  <c r="K13" i="7"/>
  <c r="D13" i="7"/>
  <c r="L12" i="7"/>
  <c r="K12" i="7"/>
  <c r="D12" i="7"/>
  <c r="L9" i="7"/>
  <c r="K9" i="7"/>
  <c r="D9" i="7"/>
  <c r="L6" i="7"/>
  <c r="K6" i="7"/>
  <c r="D6" i="7"/>
  <c r="T9" i="6"/>
  <c r="S9" i="6"/>
  <c r="D9" i="6"/>
  <c r="T6" i="6"/>
  <c r="S6" i="6"/>
  <c r="D6" i="6"/>
  <c r="T9" i="5"/>
  <c r="S9" i="5"/>
  <c r="D9" i="5"/>
  <c r="T6" i="5"/>
  <c r="S6" i="5"/>
  <c r="D6" i="5"/>
</calcChain>
</file>

<file path=xl/sharedStrings.xml><?xml version="1.0" encoding="utf-8"?>
<sst xmlns="http://schemas.openxmlformats.org/spreadsheetml/2006/main" count="2160" uniqueCount="766">
  <si>
    <t>ФИО</t>
  </si>
  <si>
    <t>Тренер</t>
  </si>
  <si>
    <t>Очки</t>
  </si>
  <si>
    <t>Команда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</si>
  <si>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</si>
  <si>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</si>
  <si>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</si>
  <si>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</si>
  <si>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</si>
  <si>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</si>
  <si>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</si>
  <si>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</si>
  <si>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</si>
  <si>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Результат</t>
  </si>
  <si>
    <t>Возрастная группа
Дата рождения/Возраст</t>
  </si>
  <si>
    <t>Собственный
вес</t>
  </si>
  <si>
    <t>Город/Область</t>
  </si>
  <si>
    <t>Открытый Всероссийский лично-командный Кубок Москвы и Московской области
WPC пауэрлифтинг без экипировки
Химки/Московская область 16 - 17 февраля 2019 г.</t>
  </si>
  <si>
    <t>Gloss</t>
  </si>
  <si>
    <t>Приседание</t>
  </si>
  <si>
    <t>ВЕСОВАЯ КАТЕГОРИЯ   75</t>
  </si>
  <si>
    <t>Моргунов Павел</t>
  </si>
  <si>
    <t>1. Моргунов Павел</t>
  </si>
  <si>
    <t>Открытая (09.02.1989)/30</t>
  </si>
  <si>
    <t>72,80</t>
  </si>
  <si>
    <t xml:space="preserve">GOPark </t>
  </si>
  <si>
    <t xml:space="preserve">Химки/Московская область </t>
  </si>
  <si>
    <t>140,0</t>
  </si>
  <si>
    <t>150,0</t>
  </si>
  <si>
    <t>105,0</t>
  </si>
  <si>
    <t>110,0</t>
  </si>
  <si>
    <t>152,5</t>
  </si>
  <si>
    <t>160,0</t>
  </si>
  <si>
    <t>170,0</t>
  </si>
  <si>
    <t xml:space="preserve"> </t>
  </si>
  <si>
    <t>ВЕСОВАЯ КАТЕГОРИЯ   110</t>
  </si>
  <si>
    <t>Якушев Олег</t>
  </si>
  <si>
    <t>1. Якушев Олег</t>
  </si>
  <si>
    <t>Открытая (28.07.1989)/29</t>
  </si>
  <si>
    <t>100,20</t>
  </si>
  <si>
    <t xml:space="preserve">Лично </t>
  </si>
  <si>
    <t xml:space="preserve">Москва </t>
  </si>
  <si>
    <t>200,0</t>
  </si>
  <si>
    <t>220,0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</si>
  <si>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</si>
  <si>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</si>
  <si>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</si>
  <si>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</si>
  <si>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</si>
  <si>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</si>
  <si>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</si>
  <si>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Gloss </t>
  </si>
  <si>
    <t>550,0</t>
  </si>
  <si>
    <t>319,4675</t>
  </si>
  <si>
    <t>75,0</t>
  </si>
  <si>
    <t>420,0</t>
  </si>
  <si>
    <t>295,7430</t>
  </si>
  <si>
    <t>Открытый Всероссийский лично-командный Кубок Москвы и Московской области
WPC пауэрлифтинг классичесический RAW
Химки/Московская область 16 - 17 февраля 2019 г.</t>
  </si>
  <si>
    <t>ВЕСОВАЯ КАТЕГОРИЯ   100</t>
  </si>
  <si>
    <t>-. Саидов Арслан</t>
  </si>
  <si>
    <t>Открытая (08.08.1988)/30</t>
  </si>
  <si>
    <t>99,60</t>
  </si>
  <si>
    <t xml:space="preserve">Кисловодск/Ставропольский край </t>
  </si>
  <si>
    <t>240,0</t>
  </si>
  <si>
    <t>235,0</t>
  </si>
  <si>
    <t>ВЕСОВАЯ КАТЕГОРИЯ   125</t>
  </si>
  <si>
    <t>Тагиев Низами</t>
  </si>
  <si>
    <t>1. Тагиев Низами</t>
  </si>
  <si>
    <t>Открытая (05.04.1991)/27</t>
  </si>
  <si>
    <t>115,70</t>
  </si>
  <si>
    <t>270,0</t>
  </si>
  <si>
    <t>290,0</t>
  </si>
  <si>
    <t>300,0</t>
  </si>
  <si>
    <t>210,0</t>
  </si>
  <si>
    <t>310,0</t>
  </si>
  <si>
    <t>330,0</t>
  </si>
  <si>
    <t>350,0</t>
  </si>
  <si>
    <t xml:space="preserve">Брехов Роман </t>
  </si>
  <si>
    <t>125,0</t>
  </si>
  <si>
    <t>870,0</t>
  </si>
  <si>
    <t>483,2415</t>
  </si>
  <si>
    <t>Открытый Всероссийский лично-командный Кубок Москвы и Московской области
WPC жим лежа без экипировки
Химки/Московская область 16 - 17 февраля 2019 г.</t>
  </si>
  <si>
    <t>Матвиенко Надежда</t>
  </si>
  <si>
    <t>1. Матвиенко Надежда</t>
  </si>
  <si>
    <t>Мастера 50 - 54 (27.07.1964)/54</t>
  </si>
  <si>
    <t>90,0</t>
  </si>
  <si>
    <t>95,0</t>
  </si>
  <si>
    <t>100,0</t>
  </si>
  <si>
    <t xml:space="preserve">Опиченок Егор </t>
  </si>
  <si>
    <t>Айрапетян Дмитрий</t>
  </si>
  <si>
    <t>1. Айрапетян Дмитрий</t>
  </si>
  <si>
    <t>Открытая (25.10.1977)/41</t>
  </si>
  <si>
    <t>74,50</t>
  </si>
  <si>
    <t>155,0</t>
  </si>
  <si>
    <t>162,5</t>
  </si>
  <si>
    <t>ВЕСОВАЯ КАТЕГОРИЯ   90</t>
  </si>
  <si>
    <t>Петриченко Максим</t>
  </si>
  <si>
    <t>1. Петриченко Максим</t>
  </si>
  <si>
    <t>Открытая (01.05.1987)/31</t>
  </si>
  <si>
    <t>89,50</t>
  </si>
  <si>
    <t xml:space="preserve">Рязань/Рязанская область </t>
  </si>
  <si>
    <t>175,0</t>
  </si>
  <si>
    <t>180,0</t>
  </si>
  <si>
    <t>185,0</t>
  </si>
  <si>
    <t>Худолеев Евгений</t>
  </si>
  <si>
    <t>1. Худолеев Евгений</t>
  </si>
  <si>
    <t>Мастера 70 - 74 (10.09.1946)/72</t>
  </si>
  <si>
    <t>90,00</t>
  </si>
  <si>
    <t xml:space="preserve">Валдай/Новгородская область </t>
  </si>
  <si>
    <t>115,0</t>
  </si>
  <si>
    <t>Халиуллин Андрей</t>
  </si>
  <si>
    <t>-. Халиуллин Андрей</t>
  </si>
  <si>
    <t>Открытая (06.05.1979)/39</t>
  </si>
  <si>
    <t>92,20</t>
  </si>
  <si>
    <t xml:space="preserve">Брянск/Брянская область </t>
  </si>
  <si>
    <t>145,0</t>
  </si>
  <si>
    <t>Печняков Артем</t>
  </si>
  <si>
    <t>1. Печняков Артем</t>
  </si>
  <si>
    <t>Открытая (16.03.1988)/30</t>
  </si>
  <si>
    <t>108,80</t>
  </si>
  <si>
    <t>190,0</t>
  </si>
  <si>
    <t>Кудрявцев Сергей</t>
  </si>
  <si>
    <t>1. Кудрявцев Сергей</t>
  </si>
  <si>
    <t>Открытая (01.07.1984)/34</t>
  </si>
  <si>
    <t>115,90</t>
  </si>
  <si>
    <t xml:space="preserve">Женщины </t>
  </si>
  <si>
    <t xml:space="preserve">Мастера </t>
  </si>
  <si>
    <t xml:space="preserve">Мастера 50 - 54 </t>
  </si>
  <si>
    <t>97,5719</t>
  </si>
  <si>
    <t>112,4419</t>
  </si>
  <si>
    <t>111,0500</t>
  </si>
  <si>
    <t>110,4750</t>
  </si>
  <si>
    <t>107,2075</t>
  </si>
  <si>
    <t xml:space="preserve">Мастера 70 - 74 </t>
  </si>
  <si>
    <t>120,8832</t>
  </si>
  <si>
    <t>Открытый Всероссийский лично-командный Кубок Москвы и Московской области
AWPC пауэрлифтинг без экипировки
Химки/Московская область 16 - 17 февраля 2019 г.</t>
  </si>
  <si>
    <t>ВЕСОВАЯ КАТЕГОРИЯ   56</t>
  </si>
  <si>
    <t>Варданян Кристина</t>
  </si>
  <si>
    <t>1. Варданян Кристина</t>
  </si>
  <si>
    <t>Открытая (23.06.1986)/32</t>
  </si>
  <si>
    <t>55,85</t>
  </si>
  <si>
    <t xml:space="preserve">Курск/Курская область </t>
  </si>
  <si>
    <t>55,0</t>
  </si>
  <si>
    <t>65,0</t>
  </si>
  <si>
    <t>70,0</t>
  </si>
  <si>
    <t>30,0</t>
  </si>
  <si>
    <t>35,0</t>
  </si>
  <si>
    <t>40,0</t>
  </si>
  <si>
    <t>72,5</t>
  </si>
  <si>
    <t>-. Парфенова Светлана</t>
  </si>
  <si>
    <t>Открытая (13.05.1984)/34</t>
  </si>
  <si>
    <t>56,00</t>
  </si>
  <si>
    <t>Шустриков Павел</t>
  </si>
  <si>
    <t>1. Шустриков Павел</t>
  </si>
  <si>
    <t>Открытая (13.02.1991)/28</t>
  </si>
  <si>
    <t>74,10</t>
  </si>
  <si>
    <t xml:space="preserve">Московский/Московская область </t>
  </si>
  <si>
    <t>117,5</t>
  </si>
  <si>
    <t>85,0</t>
  </si>
  <si>
    <t>102,5</t>
  </si>
  <si>
    <t>130,0</t>
  </si>
  <si>
    <t>ВЕСОВАЯ КАТЕГОРИЯ   82.5</t>
  </si>
  <si>
    <t>Лобков Никита</t>
  </si>
  <si>
    <t>1. Лобков Никита</t>
  </si>
  <si>
    <t>Открытая (28.12.1991)/27</t>
  </si>
  <si>
    <t>81,50</t>
  </si>
  <si>
    <t>137,5</t>
  </si>
  <si>
    <t>177,5</t>
  </si>
  <si>
    <t xml:space="preserve">Дадонов Анатолий </t>
  </si>
  <si>
    <t>Москалев Тимофей</t>
  </si>
  <si>
    <t>2. Москалев Тимофей</t>
  </si>
  <si>
    <t>Открытая (09.02.1992)/27</t>
  </si>
  <si>
    <t>81,20</t>
  </si>
  <si>
    <t>120,0</t>
  </si>
  <si>
    <t>Михайлов Николай</t>
  </si>
  <si>
    <t>1. Михайлов Николай</t>
  </si>
  <si>
    <t>Открытая (29.01.1989)/30</t>
  </si>
  <si>
    <t>89,40</t>
  </si>
  <si>
    <t xml:space="preserve">Юго-запад </t>
  </si>
  <si>
    <t xml:space="preserve">Звенигород/Московская область </t>
  </si>
  <si>
    <t>147,5</t>
  </si>
  <si>
    <t>157,5</t>
  </si>
  <si>
    <t>230,0</t>
  </si>
  <si>
    <t>Овчаренко Демьян</t>
  </si>
  <si>
    <t>1. Овчаренко Демьян</t>
  </si>
  <si>
    <t>Юниоры 20 - 23 (06.06.1997)/21</t>
  </si>
  <si>
    <t>94,00</t>
  </si>
  <si>
    <t>122,5</t>
  </si>
  <si>
    <t xml:space="preserve">Савостьянов Р.И. </t>
  </si>
  <si>
    <t>Коган Александр</t>
  </si>
  <si>
    <t>1. Коган Александр</t>
  </si>
  <si>
    <t>Открытая (19.01.1984)/35</t>
  </si>
  <si>
    <t>100,00</t>
  </si>
  <si>
    <t>135,0</t>
  </si>
  <si>
    <t>82,5</t>
  </si>
  <si>
    <t>87,5</t>
  </si>
  <si>
    <t xml:space="preserve">Родин Дмитрий </t>
  </si>
  <si>
    <t>Макаров Андрей</t>
  </si>
  <si>
    <t>1. Макаров Андрей</t>
  </si>
  <si>
    <t>Открытая (18.09.1979)/39</t>
  </si>
  <si>
    <t>102,40</t>
  </si>
  <si>
    <t xml:space="preserve">Якушев Олег </t>
  </si>
  <si>
    <t>Семенов Александр</t>
  </si>
  <si>
    <t>1. Семенов Александр</t>
  </si>
  <si>
    <t>Открытая (11.09.1978)/40</t>
  </si>
  <si>
    <t>117,00</t>
  </si>
  <si>
    <t>215,0</t>
  </si>
  <si>
    <t>225,0</t>
  </si>
  <si>
    <t>232,5</t>
  </si>
  <si>
    <t>Мастера 40 - 44 (11.09.1978)/40</t>
  </si>
  <si>
    <t>56,0</t>
  </si>
  <si>
    <t>185,7005</t>
  </si>
  <si>
    <t xml:space="preserve">Юниоры </t>
  </si>
  <si>
    <t xml:space="preserve">Юниоры 20 - 23 </t>
  </si>
  <si>
    <t>417,5</t>
  </si>
  <si>
    <t>249,6650</t>
  </si>
  <si>
    <t>577,5</t>
  </si>
  <si>
    <t>354,6716</t>
  </si>
  <si>
    <t>510,0</t>
  </si>
  <si>
    <t>331,3725</t>
  </si>
  <si>
    <t>592,5</t>
  </si>
  <si>
    <t>328,2746</t>
  </si>
  <si>
    <t>465,0</t>
  </si>
  <si>
    <t>302,8545</t>
  </si>
  <si>
    <t>487,5</t>
  </si>
  <si>
    <t>280,7269</t>
  </si>
  <si>
    <t>372,5</t>
  </si>
  <si>
    <t>258,7758</t>
  </si>
  <si>
    <t>382,5</t>
  </si>
  <si>
    <t>222,3473</t>
  </si>
  <si>
    <t xml:space="preserve">Мастера 40 - 44 </t>
  </si>
  <si>
    <t>Открытый Всероссийский лично-командный Кубок Москвы и Московской области
AWPC пауэрлифтинг классичесический RAW
Химки/Московская область 16 - 17 февраля 2019 г.</t>
  </si>
  <si>
    <t>Тимофеев Иван</t>
  </si>
  <si>
    <t>1. Тимофеев Иван</t>
  </si>
  <si>
    <t>Юноши 16 - 17 (15.01.2003)/16</t>
  </si>
  <si>
    <t>71,00</t>
  </si>
  <si>
    <t>47,5</t>
  </si>
  <si>
    <t>60,0</t>
  </si>
  <si>
    <t>Дубоенко Дмитрий</t>
  </si>
  <si>
    <t>1. Дубоенко Дмитрий</t>
  </si>
  <si>
    <t>Юниоры 20 - 23 (27.10.1998)/20</t>
  </si>
  <si>
    <t>87,60</t>
  </si>
  <si>
    <t>165,0</t>
  </si>
  <si>
    <t xml:space="preserve">Юноши </t>
  </si>
  <si>
    <t xml:space="preserve">Юноши 16 - 17 </t>
  </si>
  <si>
    <t>208,2345</t>
  </si>
  <si>
    <t>495,0</t>
  </si>
  <si>
    <t>307,5682</t>
  </si>
  <si>
    <t>Открытый Всероссийский лично-командный Кубок Москвы и Московской области
AWPC жим лежа без экипировки
Химки/Московская область 16 - 17 февраля 2019 г.</t>
  </si>
  <si>
    <t>ВЕСОВАЯ КАТЕГОРИЯ   44</t>
  </si>
  <si>
    <t>Мансурова Сабина</t>
  </si>
  <si>
    <t>1. Мансурова Сабина</t>
  </si>
  <si>
    <t>Девушки 13 - 15 (03.09.2005)/13</t>
  </si>
  <si>
    <t>43,40</t>
  </si>
  <si>
    <t>45,0</t>
  </si>
  <si>
    <t xml:space="preserve">Смирнов А.В. </t>
  </si>
  <si>
    <t>ВЕСОВАЯ КАТЕГОРИЯ   52</t>
  </si>
  <si>
    <t>Контарь Инесса</t>
  </si>
  <si>
    <t>1. Контарь Инесса</t>
  </si>
  <si>
    <t>Открытая (25.01.1980)/39</t>
  </si>
  <si>
    <t>52,00</t>
  </si>
  <si>
    <t>52,5</t>
  </si>
  <si>
    <t>57,5</t>
  </si>
  <si>
    <t>Мостовая Мария</t>
  </si>
  <si>
    <t>1. Мостовая Мария</t>
  </si>
  <si>
    <t>Открытая (19.11.1985)/33</t>
  </si>
  <si>
    <t>54,90</t>
  </si>
  <si>
    <t>62,5</t>
  </si>
  <si>
    <t>ВЕСОВАЯ КАТЕГОРИЯ   60</t>
  </si>
  <si>
    <t>Игнатьева Ольга</t>
  </si>
  <si>
    <t>1. Игнатьева Ольга</t>
  </si>
  <si>
    <t>Мастера 45 - 49 (05.03.1969)/49</t>
  </si>
  <si>
    <t>57,00</t>
  </si>
  <si>
    <t>67,5</t>
  </si>
  <si>
    <t xml:space="preserve">Данилов А.Н. </t>
  </si>
  <si>
    <t>-. Глухов Василий</t>
  </si>
  <si>
    <t>Открытая (11.05.1992)/26</t>
  </si>
  <si>
    <t>58,90</t>
  </si>
  <si>
    <t xml:space="preserve">Щёлково/Московская область </t>
  </si>
  <si>
    <t xml:space="preserve">Лукьянова Марина </t>
  </si>
  <si>
    <t>ВЕСОВАЯ КАТЕГОРИЯ   67.5</t>
  </si>
  <si>
    <t>Филипчук Иван</t>
  </si>
  <si>
    <t>1. Филипчук Иван</t>
  </si>
  <si>
    <t>Юноши 13 - 15 (25.03.2003)/15</t>
  </si>
  <si>
    <t>62,50</t>
  </si>
  <si>
    <t xml:space="preserve">Владимир/Владимирская область </t>
  </si>
  <si>
    <t>107,5</t>
  </si>
  <si>
    <t xml:space="preserve">Филипчук С.И. </t>
  </si>
  <si>
    <t>Качлаев Григорий</t>
  </si>
  <si>
    <t>1. Качлаев Григорий</t>
  </si>
  <si>
    <t>Юноши 16 - 17 (10.04.2002)/16</t>
  </si>
  <si>
    <t>66,90</t>
  </si>
  <si>
    <t>Буцнов Илья</t>
  </si>
  <si>
    <t>2. Буцнов Илья</t>
  </si>
  <si>
    <t>Юноши 16 - 17 (30.07.2002)/16</t>
  </si>
  <si>
    <t>65,90</t>
  </si>
  <si>
    <t xml:space="preserve">Чехов/Московская область </t>
  </si>
  <si>
    <t>80,0</t>
  </si>
  <si>
    <t>Шилов Никита</t>
  </si>
  <si>
    <t>3. Шилов Никита</t>
  </si>
  <si>
    <t>Юноши 16 - 17 (07.03.2002)/16</t>
  </si>
  <si>
    <t>63,10</t>
  </si>
  <si>
    <t xml:space="preserve">Шилов О.В. </t>
  </si>
  <si>
    <t>Прошин Иван</t>
  </si>
  <si>
    <t>1. Прошин Иван</t>
  </si>
  <si>
    <t>Юноши 18 - 19 (14.09.1999)/19</t>
  </si>
  <si>
    <t xml:space="preserve">Балашиха/Московская область </t>
  </si>
  <si>
    <t>Князев Сергей</t>
  </si>
  <si>
    <t>1. Князев Сергей</t>
  </si>
  <si>
    <t>Открытая (22.09.1992)/26</t>
  </si>
  <si>
    <t>66,70</t>
  </si>
  <si>
    <t>Булгаков Владимир</t>
  </si>
  <si>
    <t>1. Булгаков Владимир</t>
  </si>
  <si>
    <t>Открытая (23.02.1989)/29</t>
  </si>
  <si>
    <t>74,90</t>
  </si>
  <si>
    <t>127,5</t>
  </si>
  <si>
    <t>Минин Дмитрий</t>
  </si>
  <si>
    <t>2. Минин Дмитрий</t>
  </si>
  <si>
    <t>Открытая (13.05.1981)/37</t>
  </si>
  <si>
    <t>Моргунов Евгений</t>
  </si>
  <si>
    <t>3. Моргунов Евгений</t>
  </si>
  <si>
    <t>Открытая (06.12.1987)/31</t>
  </si>
  <si>
    <t>74,00</t>
  </si>
  <si>
    <t>-. Родин Дмитрий</t>
  </si>
  <si>
    <t>Открытая (27.11.1987)/31</t>
  </si>
  <si>
    <t>73,20</t>
  </si>
  <si>
    <t>Мелешин Дмитрий</t>
  </si>
  <si>
    <t>1. Мелешин Дмитрий</t>
  </si>
  <si>
    <t>Мастера 40 - 44 (06.09.1978)/40</t>
  </si>
  <si>
    <t>73,80</t>
  </si>
  <si>
    <t xml:space="preserve">Богданов Антон </t>
  </si>
  <si>
    <t>Щедров Алексей</t>
  </si>
  <si>
    <t>1. Щедров Алексей</t>
  </si>
  <si>
    <t>Открытая (04.05.1987)/31</t>
  </si>
  <si>
    <t>81,40</t>
  </si>
  <si>
    <t>Шконда Алексей</t>
  </si>
  <si>
    <t>2. Шконда Алексей</t>
  </si>
  <si>
    <t>Открытая (04.12.1989)/29</t>
  </si>
  <si>
    <t>81,30</t>
  </si>
  <si>
    <t>Мустакимов Никита</t>
  </si>
  <si>
    <t>1. Мустакимов Никита</t>
  </si>
  <si>
    <t>Юноши 16 - 17 (13.02.2002)/17</t>
  </si>
  <si>
    <t>87,10</t>
  </si>
  <si>
    <t xml:space="preserve">Сызрань/Самарская область </t>
  </si>
  <si>
    <t xml:space="preserve">Агаев Р. </t>
  </si>
  <si>
    <t>Емельянов Федор</t>
  </si>
  <si>
    <t>1. Емельянов Федор</t>
  </si>
  <si>
    <t>Открытая (05.12.1979)/39</t>
  </si>
  <si>
    <t>89,60</t>
  </si>
  <si>
    <t xml:space="preserve">Спасск-Дальний/Приморский край </t>
  </si>
  <si>
    <t>Соловьев Евгений</t>
  </si>
  <si>
    <t>2. Соловьев Евгений</t>
  </si>
  <si>
    <t>Открытая (07.07.1989)/29</t>
  </si>
  <si>
    <t>132,5</t>
  </si>
  <si>
    <t>Баринов Иван</t>
  </si>
  <si>
    <t>3. Баринов Иван</t>
  </si>
  <si>
    <t>Открытая (07.03.1985)/33</t>
  </si>
  <si>
    <t>88,10</t>
  </si>
  <si>
    <t>Андреев Михаил</t>
  </si>
  <si>
    <t>1. Андреев Михаил</t>
  </si>
  <si>
    <t>Мастера 45 - 49 (10.07.1971)/47</t>
  </si>
  <si>
    <t>88,20</t>
  </si>
  <si>
    <t xml:space="preserve">Бурлак </t>
  </si>
  <si>
    <t xml:space="preserve">Рыбинск/Ярославская область </t>
  </si>
  <si>
    <t xml:space="preserve">Смекалов Валерий </t>
  </si>
  <si>
    <t>Жбанков Сергей</t>
  </si>
  <si>
    <t>1. Жбанков Сергей</t>
  </si>
  <si>
    <t>Открытая (20.05.1984)/34</t>
  </si>
  <si>
    <t>98,80</t>
  </si>
  <si>
    <t xml:space="preserve">Минин А.И. </t>
  </si>
  <si>
    <t>Гусев Антон</t>
  </si>
  <si>
    <t>2. Гусев Антон</t>
  </si>
  <si>
    <t>Открытая (03.06.1981)/37</t>
  </si>
  <si>
    <t>96,70</t>
  </si>
  <si>
    <t>Овинов Сергей</t>
  </si>
  <si>
    <t>1. Овинов Сергей</t>
  </si>
  <si>
    <t>Мастера 40 - 44 (17.09.1976)/42</t>
  </si>
  <si>
    <t>98,30</t>
  </si>
  <si>
    <t xml:space="preserve">Бузулук/Оренбургская область </t>
  </si>
  <si>
    <t>Лебедев Игорь</t>
  </si>
  <si>
    <t>2. Лебедев Игорь</t>
  </si>
  <si>
    <t>Мастера 40 - 44 (11.02.1977)/42</t>
  </si>
  <si>
    <t>97,20</t>
  </si>
  <si>
    <t>Калиновский Дмитрий</t>
  </si>
  <si>
    <t>1. Калиновский Дмитрий</t>
  </si>
  <si>
    <t>Мастера 50 - 54 (27.04.1967)/51</t>
  </si>
  <si>
    <t>95,40</t>
  </si>
  <si>
    <t>112,5</t>
  </si>
  <si>
    <t xml:space="preserve">Николаев М.И. </t>
  </si>
  <si>
    <t>Намазов Руслан</t>
  </si>
  <si>
    <t>1. Намазов Руслан</t>
  </si>
  <si>
    <t>Открытая (07.01.1994)/25</t>
  </si>
  <si>
    <t>104,80</t>
  </si>
  <si>
    <t xml:space="preserve">Одинцово/Московская область </t>
  </si>
  <si>
    <t>167,5</t>
  </si>
  <si>
    <t>Авдеев Александр</t>
  </si>
  <si>
    <t>2. Авдеев Александр</t>
  </si>
  <si>
    <t>Открытая (25.12.1990)/28</t>
  </si>
  <si>
    <t>107,40</t>
  </si>
  <si>
    <t xml:space="preserve">Королёв/Московская область </t>
  </si>
  <si>
    <t>Грачев Вадим</t>
  </si>
  <si>
    <t>3. Грачев Вадим</t>
  </si>
  <si>
    <t>Открытая (19.08.1986)/32</t>
  </si>
  <si>
    <t>107,00</t>
  </si>
  <si>
    <t>Першин Алексей</t>
  </si>
  <si>
    <t>4. Першин Алексей</t>
  </si>
  <si>
    <t>Открытая (12.07.1979)/39</t>
  </si>
  <si>
    <t>109,20</t>
  </si>
  <si>
    <t>142,5</t>
  </si>
  <si>
    <t xml:space="preserve">Наумов А.С. </t>
  </si>
  <si>
    <t>Беспалов Андрей</t>
  </si>
  <si>
    <t>1. Беспалов Андрей</t>
  </si>
  <si>
    <t>Мастера 40 - 44 (01.04.1978)/40</t>
  </si>
  <si>
    <t>106,10</t>
  </si>
  <si>
    <t>Марков Алексей</t>
  </si>
  <si>
    <t>2. Марков Алексей</t>
  </si>
  <si>
    <t>Мастера 40 - 44 (26.02.1977)/41</t>
  </si>
  <si>
    <t>107,80</t>
  </si>
  <si>
    <t>Суворов Юрий</t>
  </si>
  <si>
    <t>1. Суворов Юрий</t>
  </si>
  <si>
    <t>Мастера 50 - 54 (22.11.1965)/53</t>
  </si>
  <si>
    <t>107,90</t>
  </si>
  <si>
    <t xml:space="preserve">Сатурн </t>
  </si>
  <si>
    <t>Мосия Ревази</t>
  </si>
  <si>
    <t>1. Мосия Ревази</t>
  </si>
  <si>
    <t>Открытая (23.09.1989)/29</t>
  </si>
  <si>
    <t>123,00</t>
  </si>
  <si>
    <t>Зубков Артем</t>
  </si>
  <si>
    <t>2. Зубков Артем</t>
  </si>
  <si>
    <t>Открытая (04.07.1991)/27</t>
  </si>
  <si>
    <t>123,80</t>
  </si>
  <si>
    <t xml:space="preserve">Синчугов О.А. </t>
  </si>
  <si>
    <t>Бычков Игорь</t>
  </si>
  <si>
    <t>1. Бычков Игорь</t>
  </si>
  <si>
    <t>Мастера 45 - 49 (18.06.1970)/48</t>
  </si>
  <si>
    <t>172,5</t>
  </si>
  <si>
    <t>Чубаров Владимир</t>
  </si>
  <si>
    <t>1. Чубаров Владимир</t>
  </si>
  <si>
    <t>Мастера 50 - 54 (03.04.1964)/54</t>
  </si>
  <si>
    <t>123,30</t>
  </si>
  <si>
    <t xml:space="preserve">Девушки </t>
  </si>
  <si>
    <t xml:space="preserve">Юноши 13 - 15 </t>
  </si>
  <si>
    <t>44,0</t>
  </si>
  <si>
    <t>57,1680</t>
  </si>
  <si>
    <t>66,2875</t>
  </si>
  <si>
    <t>52,0</t>
  </si>
  <si>
    <t>63,6870</t>
  </si>
  <si>
    <t xml:space="preserve">Мастера 45 - 49 </t>
  </si>
  <si>
    <t>77,3212</t>
  </si>
  <si>
    <t xml:space="preserve">Юноши 18 - 19 </t>
  </si>
  <si>
    <t>86,7272</t>
  </si>
  <si>
    <t>86,1344</t>
  </si>
  <si>
    <t>75,4150</t>
  </si>
  <si>
    <t>73,2495</t>
  </si>
  <si>
    <t>61,1200</t>
  </si>
  <si>
    <t>59,5650</t>
  </si>
  <si>
    <t>95,8562</t>
  </si>
  <si>
    <t>95,6509</t>
  </si>
  <si>
    <t>94,2863</t>
  </si>
  <si>
    <t>93,5359</t>
  </si>
  <si>
    <t>93,0420</t>
  </si>
  <si>
    <t>89,4850</t>
  </si>
  <si>
    <t>87,6450</t>
  </si>
  <si>
    <t>85,1008</t>
  </si>
  <si>
    <t>84,9675</t>
  </si>
  <si>
    <t>83,6472</t>
  </si>
  <si>
    <t>82,5930</t>
  </si>
  <si>
    <t>81,2689</t>
  </si>
  <si>
    <t>80,3201</t>
  </si>
  <si>
    <t>79,2933</t>
  </si>
  <si>
    <t>73,0223</t>
  </si>
  <si>
    <t>72,7619</t>
  </si>
  <si>
    <t>71,8295</t>
  </si>
  <si>
    <t>113,6999</t>
  </si>
  <si>
    <t>105,0713</t>
  </si>
  <si>
    <t>103,7873</t>
  </si>
  <si>
    <t>98,7851</t>
  </si>
  <si>
    <t>95,2489</t>
  </si>
  <si>
    <t>89,5968</t>
  </si>
  <si>
    <t>85,7187</t>
  </si>
  <si>
    <t>84,0449</t>
  </si>
  <si>
    <t>76,6160</t>
  </si>
  <si>
    <t>69,6850</t>
  </si>
  <si>
    <t>Открытый Всероссийский лично-командный Кубок Москвы и Московской области
AWPC жим лежа в однослойной экипировке
Химки/Московская область 16 - 17 февраля 2019 г.</t>
  </si>
  <si>
    <t>Фиголь Алексей</t>
  </si>
  <si>
    <t>1. Фиголь Алексей</t>
  </si>
  <si>
    <t>Открытая (26.01.1973)/46</t>
  </si>
  <si>
    <t>98,60</t>
  </si>
  <si>
    <t>182,5</t>
  </si>
  <si>
    <t>106,7260</t>
  </si>
  <si>
    <t>Открытый Всероссийский лично-командный Кубок Москвы и Московской области
AWPC Жим лежа в стандартной софт экипировке
Химки/Московская область 16 - 17 февраля 2019 г.</t>
  </si>
  <si>
    <t>Агаев Роял</t>
  </si>
  <si>
    <t>1. Агаев Роял</t>
  </si>
  <si>
    <t>Открытая (01.03.1990)/28</t>
  </si>
  <si>
    <t>79,40</t>
  </si>
  <si>
    <t>Михайлов Сергей</t>
  </si>
  <si>
    <t>1. Михайлов Сергей</t>
  </si>
  <si>
    <t>Мастера 40 - 44 (24.12.1978)/40</t>
  </si>
  <si>
    <t>84,70</t>
  </si>
  <si>
    <t xml:space="preserve">Чубаров В.В. </t>
  </si>
  <si>
    <t>Корчинский Василий</t>
  </si>
  <si>
    <t>1. Корчинский Василий</t>
  </si>
  <si>
    <t>Открытая (26.07.1981)/37</t>
  </si>
  <si>
    <t>106,80</t>
  </si>
  <si>
    <t>250,0</t>
  </si>
  <si>
    <t>257,5</t>
  </si>
  <si>
    <t>Велес Евгений</t>
  </si>
  <si>
    <t>1. Велес Евгений</t>
  </si>
  <si>
    <t>Мастера 50 - 54 (09.03.1968)/50</t>
  </si>
  <si>
    <t>116,20</t>
  </si>
  <si>
    <t>280,0</t>
  </si>
  <si>
    <t>ВЕСОВАЯ КАТЕГОРИЯ   140</t>
  </si>
  <si>
    <t>Петров Алексей</t>
  </si>
  <si>
    <t>1. Петров Алексей</t>
  </si>
  <si>
    <t>Мастера 40 - 44 (25.03.1975)/43</t>
  </si>
  <si>
    <t>126,10</t>
  </si>
  <si>
    <t>141,8625</t>
  </si>
  <si>
    <t>107,4450</t>
  </si>
  <si>
    <t>175,5704</t>
  </si>
  <si>
    <t>134,6717</t>
  </si>
  <si>
    <t>101,4400</t>
  </si>
  <si>
    <t>Открытый Всероссийский лично-командный Кубок Москвы и Московской области
WPC тяга становая без экипировки
Химки/Московская область 16 - 17 февраля 2019 г.</t>
  </si>
  <si>
    <t>Амельченков Павел</t>
  </si>
  <si>
    <t>1. Амельченков Павел</t>
  </si>
  <si>
    <t>Открытая (24.02.1984)/34</t>
  </si>
  <si>
    <t>82,30</t>
  </si>
  <si>
    <t>Лукьянов Сергей</t>
  </si>
  <si>
    <t>1. Лукьянов Сергей</t>
  </si>
  <si>
    <t>Мастера 60 - 64 (25.10.1955)/63</t>
  </si>
  <si>
    <t>116,50</t>
  </si>
  <si>
    <t>192,5</t>
  </si>
  <si>
    <t xml:space="preserve">Токарев Сергей </t>
  </si>
  <si>
    <t>154,9440</t>
  </si>
  <si>
    <t>210,2317</t>
  </si>
  <si>
    <t xml:space="preserve">Мастера 60 - 64 </t>
  </si>
  <si>
    <t>151,7067</t>
  </si>
  <si>
    <t>Открытый Всероссийский лично-командный Кубок Москвы и Московской области
AWPC тяга становая без экипировки
Химки/Московская область 16 - 17 февраля 2019 г.</t>
  </si>
  <si>
    <t>Чипилева Виктория</t>
  </si>
  <si>
    <t>1. Чипилева Виктория</t>
  </si>
  <si>
    <t>Юниорки 20 - 23 (05.05.1996)/22</t>
  </si>
  <si>
    <t>Яшина Тамара</t>
  </si>
  <si>
    <t>1. Яшина Тамара</t>
  </si>
  <si>
    <t>Открытая (18.03.1985)/33</t>
  </si>
  <si>
    <t>51,30</t>
  </si>
  <si>
    <t xml:space="preserve">Кочников Павел </t>
  </si>
  <si>
    <t>Родионова Мария</t>
  </si>
  <si>
    <t>1. Родионова Мария</t>
  </si>
  <si>
    <t>Юниорки 20 - 23 (22.06.1997)/21</t>
  </si>
  <si>
    <t>54,30</t>
  </si>
  <si>
    <t>Королева Анна</t>
  </si>
  <si>
    <t>1. Королева Анна</t>
  </si>
  <si>
    <t>Открытая (01.03.1984)/34</t>
  </si>
  <si>
    <t>55,00</t>
  </si>
  <si>
    <t>92,5</t>
  </si>
  <si>
    <t>Переляева Наталья</t>
  </si>
  <si>
    <t>2. Переляева Наталья</t>
  </si>
  <si>
    <t>Открытая (16.07.1983)/35</t>
  </si>
  <si>
    <t>54,60</t>
  </si>
  <si>
    <t>Тихонова Ольга</t>
  </si>
  <si>
    <t>1. Тихонова Ольга</t>
  </si>
  <si>
    <t>Открытая (24.05.1986)/32</t>
  </si>
  <si>
    <t>59,20</t>
  </si>
  <si>
    <t>77,5</t>
  </si>
  <si>
    <t>Туманова Ангелина</t>
  </si>
  <si>
    <t>1. Туманова Ангелина</t>
  </si>
  <si>
    <t>Девушки 13 - 15 (03.11.2003)/15</t>
  </si>
  <si>
    <t>65,60</t>
  </si>
  <si>
    <t xml:space="preserve">Дрезна/Московская область </t>
  </si>
  <si>
    <t>Котова Светлана</t>
  </si>
  <si>
    <t>1. Котова Светлана</t>
  </si>
  <si>
    <t>Открытая (08.09.1983)/35</t>
  </si>
  <si>
    <t>64,90</t>
  </si>
  <si>
    <t>Колесникова Татьяна</t>
  </si>
  <si>
    <t>1. Колесникова Татьяна</t>
  </si>
  <si>
    <t>Мастера 40 - 44 (17.03.1978)/40</t>
  </si>
  <si>
    <t>65,00</t>
  </si>
  <si>
    <t>Ожерельев Максим</t>
  </si>
  <si>
    <t>1. Ожерельев Максим</t>
  </si>
  <si>
    <t>Юноши 16 - 17 (03.07.2002)/16</t>
  </si>
  <si>
    <t>65,30</t>
  </si>
  <si>
    <t>Якимчук Николай</t>
  </si>
  <si>
    <t>1. Якимчук Николай</t>
  </si>
  <si>
    <t>Юниоры 20 - 23 (09.02.1999)/20</t>
  </si>
  <si>
    <t>66,30</t>
  </si>
  <si>
    <t xml:space="preserve">Раменское/Московская область </t>
  </si>
  <si>
    <t>217,5</t>
  </si>
  <si>
    <t>Николаенко Вячеслав</t>
  </si>
  <si>
    <t>1. Николаенко Вячеслав</t>
  </si>
  <si>
    <t>Юноши 18 - 19 (11.10.1999)/19</t>
  </si>
  <si>
    <t>72,60</t>
  </si>
  <si>
    <t>202,5</t>
  </si>
  <si>
    <t>Ковалев Сергей</t>
  </si>
  <si>
    <t>2. Ковалев Сергей</t>
  </si>
  <si>
    <t>Юноши 18 - 19 (24.01.2001)/18</t>
  </si>
  <si>
    <t>72,90</t>
  </si>
  <si>
    <t>Кузнецов Андрей</t>
  </si>
  <si>
    <t>1. Кузнецов Андрей</t>
  </si>
  <si>
    <t>Юниоры 20 - 23 (31.01.1999)/20</t>
  </si>
  <si>
    <t>72,20</t>
  </si>
  <si>
    <t>Петров Никита</t>
  </si>
  <si>
    <t>2. Петров Никита</t>
  </si>
  <si>
    <t>Юниоры 20 - 23 (28.09.1995)/23</t>
  </si>
  <si>
    <t>Белов Евгений</t>
  </si>
  <si>
    <t>3. Белов Евгений</t>
  </si>
  <si>
    <t>Юниоры 20 - 23 (01.05.1998)/20</t>
  </si>
  <si>
    <t>72,70</t>
  </si>
  <si>
    <t>-. Красин Роман</t>
  </si>
  <si>
    <t>Мастера 45 - 49 (01.08.1973)/45</t>
  </si>
  <si>
    <t>72,30</t>
  </si>
  <si>
    <t xml:space="preserve">Тула/Тульская область </t>
  </si>
  <si>
    <t>Самоделов Игорь</t>
  </si>
  <si>
    <t>1. Самоделов Игорь</t>
  </si>
  <si>
    <t>Открытая (08.12.1982)/36</t>
  </si>
  <si>
    <t>79,70</t>
  </si>
  <si>
    <t>195,0</t>
  </si>
  <si>
    <t>Осипов Борис</t>
  </si>
  <si>
    <t>2. Осипов Борис</t>
  </si>
  <si>
    <t>Открытая (16.03.1992)/26</t>
  </si>
  <si>
    <t>78,80</t>
  </si>
  <si>
    <t xml:space="preserve">Электросталь/Московская область </t>
  </si>
  <si>
    <t>Переляев Артем</t>
  </si>
  <si>
    <t>3. Переляев Артем</t>
  </si>
  <si>
    <t>Открытая (25.05.1987)/31</t>
  </si>
  <si>
    <t>81,90</t>
  </si>
  <si>
    <t>Ростилов Сергей</t>
  </si>
  <si>
    <t>1. Ростилов Сергей</t>
  </si>
  <si>
    <t>Мастера 40 - 44 (09.11.1977)/41</t>
  </si>
  <si>
    <t>82,20</t>
  </si>
  <si>
    <t xml:space="preserve">Кончиков Павел </t>
  </si>
  <si>
    <t>Бобылев Роман</t>
  </si>
  <si>
    <t>2. Бобылев Роман</t>
  </si>
  <si>
    <t>Мастера 40 - 44 (28.08.1974)/44</t>
  </si>
  <si>
    <t>80,80</t>
  </si>
  <si>
    <t>Порядин Иван</t>
  </si>
  <si>
    <t>1. Порядин Иван</t>
  </si>
  <si>
    <t>Открытая (06.06.1982)/36</t>
  </si>
  <si>
    <t>89,30</t>
  </si>
  <si>
    <t xml:space="preserve">Белоозёрский/Московская область </t>
  </si>
  <si>
    <t>265,0</t>
  </si>
  <si>
    <t>Курочкин Роман</t>
  </si>
  <si>
    <t>2. Курочкин Роман</t>
  </si>
  <si>
    <t>Открытая (01.10.1983)/35</t>
  </si>
  <si>
    <t>87,90</t>
  </si>
  <si>
    <t xml:space="preserve">Днепродзерджинск/Днепропетровская область </t>
  </si>
  <si>
    <t>255,0</t>
  </si>
  <si>
    <t>Щеулин Роман</t>
  </si>
  <si>
    <t>3. Щеулин Роман</t>
  </si>
  <si>
    <t>Открытая (12.02.1988)/31</t>
  </si>
  <si>
    <t xml:space="preserve">Воскресенск/Московская область </t>
  </si>
  <si>
    <t>Киселев Иван</t>
  </si>
  <si>
    <t>1. Киселев Иван</t>
  </si>
  <si>
    <t>Открытая (21.10.1982)/36</t>
  </si>
  <si>
    <t>95,80</t>
  </si>
  <si>
    <t xml:space="preserve">Люберцы/Московская область </t>
  </si>
  <si>
    <t>Марутян Степан</t>
  </si>
  <si>
    <t>1. Марутян Степан</t>
  </si>
  <si>
    <t>Юниоры 20 - 23 (27.03.1995)/23</t>
  </si>
  <si>
    <t>109,10</t>
  </si>
  <si>
    <t>207,5</t>
  </si>
  <si>
    <t>Машошин Олег</t>
  </si>
  <si>
    <t>1. Машошин Олег</t>
  </si>
  <si>
    <t>Открытая (21.02.1983)/35</t>
  </si>
  <si>
    <t>105,30</t>
  </si>
  <si>
    <t xml:space="preserve">Истра/Московская область </t>
  </si>
  <si>
    <t>Жигарев Олег</t>
  </si>
  <si>
    <t>1. Жигарев Олег</t>
  </si>
  <si>
    <t>Юниоры 20 - 23 (06.09.1997)/21</t>
  </si>
  <si>
    <t>121,70</t>
  </si>
  <si>
    <t>Тюрюмин Сергей</t>
  </si>
  <si>
    <t>1. Тюрюмин Сергей</t>
  </si>
  <si>
    <t>Открытая (07.07.1987)/31</t>
  </si>
  <si>
    <t>222,5</t>
  </si>
  <si>
    <t>78,1958</t>
  </si>
  <si>
    <t xml:space="preserve">Юниорки </t>
  </si>
  <si>
    <t>110,7600</t>
  </si>
  <si>
    <t>80,2575</t>
  </si>
  <si>
    <t>97,9668</t>
  </si>
  <si>
    <t>97,9563</t>
  </si>
  <si>
    <t>79,8680</t>
  </si>
  <si>
    <t>77,2342</t>
  </si>
  <si>
    <t>76,5394</t>
  </si>
  <si>
    <t>97,2982</t>
  </si>
  <si>
    <t>142,8941</t>
  </si>
  <si>
    <t>130,9255</t>
  </si>
  <si>
    <t>126,6120</t>
  </si>
  <si>
    <t>165,3000</t>
  </si>
  <si>
    <t>148,8165</t>
  </si>
  <si>
    <t>148,1865</t>
  </si>
  <si>
    <t>128,6351</t>
  </si>
  <si>
    <t>121,2170</t>
  </si>
  <si>
    <t>118,0780</t>
  </si>
  <si>
    <t>153,6375</t>
  </si>
  <si>
    <t>148,8240</t>
  </si>
  <si>
    <t>141,3465</t>
  </si>
  <si>
    <t>129,0956</t>
  </si>
  <si>
    <t>128,6025</t>
  </si>
  <si>
    <t>126,2740</t>
  </si>
  <si>
    <t>119,7210</t>
  </si>
  <si>
    <t>97,1475</t>
  </si>
  <si>
    <t>96,2894</t>
  </si>
  <si>
    <t>127,2592</t>
  </si>
  <si>
    <t>125,4355</t>
  </si>
  <si>
    <t>102,2323</t>
  </si>
  <si>
    <t>Открытый Всероссийский лично-командный Кубок Москвы и Московской области
AWPC Народный жим (1 вес)
Химки/Московская область 16 - 17 февраля 2019 г.</t>
  </si>
  <si>
    <t>Колистратов Дмитрий</t>
  </si>
  <si>
    <t>1. Колистратов Дмитрий</t>
  </si>
  <si>
    <t>Открытая (08.03.1977)/41</t>
  </si>
  <si>
    <t>75,00</t>
  </si>
  <si>
    <t>33,0</t>
  </si>
  <si>
    <t xml:space="preserve">лично </t>
  </si>
  <si>
    <t>Черников Олег</t>
  </si>
  <si>
    <t>2. Черников Олег</t>
  </si>
  <si>
    <t>Открытая (11.04.1992)/26</t>
  </si>
  <si>
    <t>69,60</t>
  </si>
  <si>
    <t>23,0</t>
  </si>
  <si>
    <t>Калинин Сергей</t>
  </si>
  <si>
    <t>1. Калинин Сергей</t>
  </si>
  <si>
    <t>Мастера 40 - 49 (19.11.1975)/43</t>
  </si>
  <si>
    <t>Мастера 40 - 49 (10.07.1971)/47</t>
  </si>
  <si>
    <t>Принёв Алексей</t>
  </si>
  <si>
    <t>1. Принёв Алексей</t>
  </si>
  <si>
    <t>Открытая (02.11.1988)/30</t>
  </si>
  <si>
    <t>96,10</t>
  </si>
  <si>
    <t>97,5</t>
  </si>
  <si>
    <t>31,0</t>
  </si>
  <si>
    <t>2970,0</t>
  </si>
  <si>
    <t>1821,6494</t>
  </si>
  <si>
    <t>3022,5</t>
  </si>
  <si>
    <t>1788,2622</t>
  </si>
  <si>
    <t>2475,0</t>
  </si>
  <si>
    <t>1704,1612</t>
  </si>
  <si>
    <t>1610,0</t>
  </si>
  <si>
    <t>1174,7365</t>
  </si>
  <si>
    <t xml:space="preserve">Мастера 40 - 49 </t>
  </si>
  <si>
    <t>3150,0</t>
  </si>
  <si>
    <t>2109,2264</t>
  </si>
  <si>
    <t>2250,0</t>
  </si>
  <si>
    <t>1598,7717</t>
  </si>
  <si>
    <t>Вес</t>
  </si>
  <si>
    <t>Повторы</t>
  </si>
  <si>
    <t>Тоннаж</t>
  </si>
  <si>
    <t>Открытый Всероссийский лично-командный Кубок Москвы и Московской области
WPC Народный жим (1 вес)
Химки/Московская область 16 - 17 февраля 2019 г.</t>
  </si>
  <si>
    <t>Переведенцев Николай</t>
  </si>
  <si>
    <t>1. Переведенцев Николай</t>
  </si>
  <si>
    <t>Открытая (03.11.1982)/36</t>
  </si>
  <si>
    <t>87,40</t>
  </si>
  <si>
    <t>36,0</t>
  </si>
  <si>
    <t>1. Халиуллин Андрей</t>
  </si>
  <si>
    <t>38,0</t>
  </si>
  <si>
    <t>Власов Сергей</t>
  </si>
  <si>
    <t>1. Власов Сергей</t>
  </si>
  <si>
    <t>Открытая (09.06.1985)/33</t>
  </si>
  <si>
    <t>111,10</t>
  </si>
  <si>
    <t>19,0</t>
  </si>
  <si>
    <t xml:space="preserve">Перевезенцев Н. </t>
  </si>
  <si>
    <t>3515,0</t>
  </si>
  <si>
    <t>2123,0599</t>
  </si>
  <si>
    <t>1959,7725</t>
  </si>
  <si>
    <t>2137,5</t>
  </si>
  <si>
    <t>1199,0306</t>
  </si>
  <si>
    <t>Главный судья: Умеренков И. Курск</t>
  </si>
  <si>
    <t>Главный секретарь: Умеренкова Ю. Курск</t>
  </si>
  <si>
    <t>Старший судья: Енина Е. Курск</t>
  </si>
  <si>
    <t>Боковой судья: Лукьянова М. Москва</t>
  </si>
  <si>
    <t>Секретарь: Роде А. Саратов</t>
  </si>
  <si>
    <t>Боковой судья: Шаева Е.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</si>
</sst>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yr"/>
      <charset val="204"/>
    </font>
    <font>
      <sz val="24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i/>
      <sz val="12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2" fillId="0" borderId="18" xfId="0" applyNumberFormat="1" applyFont="1" applyFill="1" applyBorder="1" applyAlignment="1">
      <alignment horizontal="left"/>
    </xf>
    <xf numFmtId="49" fontId="0" fillId="0" borderId="18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left"/>
    </xf>
    <xf numFmtId="49" fontId="7" fillId="0" borderId="18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indent="1"/>
    </xf>
    <xf numFmtId="49" fontId="11" fillId="0" borderId="0" xfId="0" applyNumberFormat="1" applyFont="1" applyFill="1" applyBorder="1" applyAlignment="1">
      <alignment horizontal="left" indent="1"/>
    </xf>
    <xf numFmtId="49" fontId="12" fillId="0" borderId="0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left"/>
    </xf>
    <xf numFmtId="49" fontId="0" fillId="0" borderId="19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 horizontal="left"/>
    </xf>
    <xf numFmtId="49" fontId="7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left"/>
    </xf>
    <xf numFmtId="49" fontId="0" fillId="0" borderId="20" xfId="0" applyNumberFormat="1" applyFill="1" applyBorder="1" applyAlignment="1">
      <alignment horizontal="center"/>
    </xf>
    <xf numFmtId="49" fontId="0" fillId="0" borderId="20" xfId="0" applyNumberFormat="1" applyFill="1" applyBorder="1" applyAlignment="1">
      <alignment horizontal="left"/>
    </xf>
    <xf numFmtId="49" fontId="7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left"/>
    </xf>
    <xf numFmtId="49" fontId="0" fillId="0" borderId="21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left"/>
    </xf>
    <xf numFmtId="49" fontId="7" fillId="0" borderId="2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34FF0-B3C6-49B4-B9AE-62FC995AE3F8}">
  <dimension ref="A1:K28"/>
  <sheetViews>
    <sheetView tabSelected="1" topLeftCell="A10" workbookViewId="0">
      <selection activeCell="E14" sqref="E14:F19"/>
    </sheetView>
  </sheetViews>
  <sheetFormatPr defaultRowHeight="12.75" x14ac:dyDescent="0.2"/>
  <cols>
    <col min="1" max="1" width="28.28515625" style="4" bestFit="1" customWidth="1"/>
    <col min="2" max="2" width="22.85546875" style="1" bestFit="1" customWidth="1"/>
    <col min="3" max="3" width="10.5703125" style="1" bestFit="1" customWidth="1"/>
    <col min="4" max="4" width="8.42578125" style="1" bestFit="1" customWidth="1"/>
    <col min="5" max="5" width="22.7109375" style="5" bestFit="1" customWidth="1"/>
    <col min="6" max="6" width="25.28515625" style="5" bestFit="1" customWidth="1"/>
    <col min="7" max="7" width="5.5703125" style="1" bestFit="1" customWidth="1"/>
    <col min="8" max="8" width="4.5703125" style="36" bestFit="1" customWidth="1"/>
    <col min="9" max="9" width="11.28515625" style="4" bestFit="1" customWidth="1"/>
    <col min="10" max="10" width="9.5703125" style="1" bestFit="1" customWidth="1"/>
    <col min="11" max="11" width="16.28515625" style="5" bestFit="1" customWidth="1"/>
    <col min="12" max="16384" width="9.140625" style="1"/>
  </cols>
  <sheetData>
    <row r="1" spans="1:11" ht="29.1" customHeight="1" x14ac:dyDescent="0.2">
      <c r="A1" s="44" t="s">
        <v>741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s="2" customFormat="1" ht="12.75" customHeight="1" x14ac:dyDescent="0.2">
      <c r="A3" s="50" t="s">
        <v>0</v>
      </c>
      <c r="B3" s="52" t="s">
        <v>14</v>
      </c>
      <c r="C3" s="52" t="s">
        <v>15</v>
      </c>
      <c r="D3" s="54" t="s">
        <v>18</v>
      </c>
      <c r="E3" s="54" t="s">
        <v>3</v>
      </c>
      <c r="F3" s="54" t="s">
        <v>16</v>
      </c>
      <c r="G3" s="56"/>
      <c r="H3" s="56"/>
      <c r="I3" s="58" t="s">
        <v>740</v>
      </c>
      <c r="J3" s="54" t="s">
        <v>2</v>
      </c>
      <c r="K3" s="38" t="s">
        <v>1</v>
      </c>
    </row>
    <row r="4" spans="1:11" s="2" customFormat="1" ht="21" customHeight="1" thickBot="1" x14ac:dyDescent="0.25">
      <c r="A4" s="51"/>
      <c r="B4" s="53"/>
      <c r="C4" s="53"/>
      <c r="D4" s="53"/>
      <c r="E4" s="53"/>
      <c r="F4" s="53"/>
      <c r="G4" s="3" t="s">
        <v>738</v>
      </c>
      <c r="H4" s="31" t="s">
        <v>739</v>
      </c>
      <c r="I4" s="59"/>
      <c r="J4" s="53"/>
      <c r="K4" s="39"/>
    </row>
    <row r="5" spans="1:11" ht="15" x14ac:dyDescent="0.2">
      <c r="A5" s="40" t="s">
        <v>95</v>
      </c>
      <c r="B5" s="41"/>
      <c r="C5" s="41"/>
      <c r="D5" s="41"/>
      <c r="E5" s="41"/>
      <c r="F5" s="41"/>
      <c r="G5" s="41"/>
      <c r="H5" s="41"/>
      <c r="I5" s="41"/>
      <c r="J5" s="41"/>
    </row>
    <row r="6" spans="1:11" x14ac:dyDescent="0.2">
      <c r="A6" s="6" t="s">
        <v>743</v>
      </c>
      <c r="B6" s="7" t="s">
        <v>744</v>
      </c>
      <c r="C6" s="7" t="s">
        <v>745</v>
      </c>
      <c r="D6" s="7" t="str">
        <f>"0,6222"</f>
        <v>0,6222</v>
      </c>
      <c r="E6" s="8" t="s">
        <v>40</v>
      </c>
      <c r="F6" s="8" t="s">
        <v>26</v>
      </c>
      <c r="G6" s="7" t="s">
        <v>195</v>
      </c>
      <c r="H6" s="37" t="s">
        <v>746</v>
      </c>
      <c r="I6" s="6" t="str">
        <f>"3150,0"</f>
        <v>3150,0</v>
      </c>
      <c r="J6" s="7" t="str">
        <f>"1959,7725"</f>
        <v>1959,7725</v>
      </c>
      <c r="K6" s="8" t="s">
        <v>34</v>
      </c>
    </row>
    <row r="8" spans="1:11" ht="15" x14ac:dyDescent="0.2">
      <c r="A8" s="42" t="s">
        <v>58</v>
      </c>
      <c r="B8" s="43"/>
      <c r="C8" s="43"/>
      <c r="D8" s="43"/>
      <c r="E8" s="43"/>
      <c r="F8" s="43"/>
      <c r="G8" s="43"/>
      <c r="H8" s="43"/>
      <c r="I8" s="43"/>
      <c r="J8" s="43"/>
    </row>
    <row r="9" spans="1:11" x14ac:dyDescent="0.2">
      <c r="A9" s="6" t="s">
        <v>747</v>
      </c>
      <c r="B9" s="7" t="s">
        <v>112</v>
      </c>
      <c r="C9" s="7" t="s">
        <v>113</v>
      </c>
      <c r="D9" s="7" t="str">
        <f>"0,6040"</f>
        <v>0,6040</v>
      </c>
      <c r="E9" s="8" t="s">
        <v>40</v>
      </c>
      <c r="F9" s="8" t="s">
        <v>114</v>
      </c>
      <c r="G9" s="7" t="s">
        <v>553</v>
      </c>
      <c r="H9" s="37" t="s">
        <v>748</v>
      </c>
      <c r="I9" s="6" t="str">
        <f>"3515,0"</f>
        <v>3515,0</v>
      </c>
      <c r="J9" s="7" t="str">
        <f>"2123,0599"</f>
        <v>2123,0599</v>
      </c>
      <c r="K9" s="8" t="s">
        <v>34</v>
      </c>
    </row>
    <row r="11" spans="1:11" ht="15" x14ac:dyDescent="0.2">
      <c r="A11" s="42" t="s">
        <v>65</v>
      </c>
      <c r="B11" s="43"/>
      <c r="C11" s="43"/>
      <c r="D11" s="43"/>
      <c r="E11" s="43"/>
      <c r="F11" s="43"/>
      <c r="G11" s="43"/>
      <c r="H11" s="43"/>
      <c r="I11" s="43"/>
      <c r="J11" s="43"/>
    </row>
    <row r="12" spans="1:11" x14ac:dyDescent="0.2">
      <c r="A12" s="6" t="s">
        <v>750</v>
      </c>
      <c r="B12" s="7" t="s">
        <v>751</v>
      </c>
      <c r="C12" s="7" t="s">
        <v>752</v>
      </c>
      <c r="D12" s="7" t="str">
        <f>"0,5609"</f>
        <v>0,5609</v>
      </c>
      <c r="E12" s="8" t="s">
        <v>25</v>
      </c>
      <c r="F12" s="8" t="s">
        <v>26</v>
      </c>
      <c r="G12" s="7" t="s">
        <v>387</v>
      </c>
      <c r="H12" s="37" t="s">
        <v>753</v>
      </c>
      <c r="I12" s="6" t="str">
        <f>"2137,5"</f>
        <v>2137,5</v>
      </c>
      <c r="J12" s="7" t="str">
        <f>"1199,0306"</f>
        <v>1199,0306</v>
      </c>
      <c r="K12" s="8" t="s">
        <v>754</v>
      </c>
    </row>
    <row r="14" spans="1:11" ht="15" x14ac:dyDescent="0.2">
      <c r="E14" s="10" t="s">
        <v>760</v>
      </c>
    </row>
    <row r="15" spans="1:11" ht="15" x14ac:dyDescent="0.2">
      <c r="E15" s="10" t="s">
        <v>761</v>
      </c>
    </row>
    <row r="16" spans="1:11" ht="15" x14ac:dyDescent="0.2">
      <c r="E16" s="10" t="s">
        <v>762</v>
      </c>
    </row>
    <row r="17" spans="1:5" ht="15" x14ac:dyDescent="0.2">
      <c r="E17" s="10" t="s">
        <v>763</v>
      </c>
    </row>
    <row r="18" spans="1:5" ht="15" x14ac:dyDescent="0.2">
      <c r="E18" s="10" t="s">
        <v>765</v>
      </c>
    </row>
    <row r="19" spans="1:5" ht="15" x14ac:dyDescent="0.2">
      <c r="E19" s="10" t="s">
        <v>764</v>
      </c>
    </row>
    <row r="20" spans="1:5" ht="15" x14ac:dyDescent="0.2">
      <c r="E20" s="10"/>
    </row>
    <row r="22" spans="1:5" ht="18" x14ac:dyDescent="0.25">
      <c r="A22" s="11" t="s">
        <v>44</v>
      </c>
      <c r="B22" s="12"/>
    </row>
    <row r="23" spans="1:5" ht="15" x14ac:dyDescent="0.2">
      <c r="A23" s="13" t="s">
        <v>45</v>
      </c>
      <c r="B23" s="14"/>
    </row>
    <row r="24" spans="1:5" ht="14.25" x14ac:dyDescent="0.2">
      <c r="A24" s="16"/>
      <c r="B24" s="17" t="s">
        <v>46</v>
      </c>
    </row>
    <row r="25" spans="1:5" ht="15" x14ac:dyDescent="0.2">
      <c r="A25" s="18" t="s">
        <v>47</v>
      </c>
      <c r="B25" s="18" t="s">
        <v>48</v>
      </c>
      <c r="C25" s="18" t="s">
        <v>49</v>
      </c>
      <c r="D25" s="18" t="s">
        <v>50</v>
      </c>
      <c r="E25" s="18" t="s">
        <v>51</v>
      </c>
    </row>
    <row r="26" spans="1:5" x14ac:dyDescent="0.2">
      <c r="A26" s="15" t="s">
        <v>110</v>
      </c>
      <c r="B26" s="1" t="s">
        <v>46</v>
      </c>
      <c r="C26" s="1" t="s">
        <v>87</v>
      </c>
      <c r="D26" s="1" t="s">
        <v>755</v>
      </c>
      <c r="E26" s="4" t="s">
        <v>756</v>
      </c>
    </row>
    <row r="27" spans="1:5" x14ac:dyDescent="0.2">
      <c r="A27" s="15" t="s">
        <v>742</v>
      </c>
      <c r="B27" s="1" t="s">
        <v>46</v>
      </c>
      <c r="C27" s="1" t="s">
        <v>85</v>
      </c>
      <c r="D27" s="1" t="s">
        <v>734</v>
      </c>
      <c r="E27" s="4" t="s">
        <v>757</v>
      </c>
    </row>
    <row r="28" spans="1:5" x14ac:dyDescent="0.2">
      <c r="A28" s="15" t="s">
        <v>749</v>
      </c>
      <c r="B28" s="1" t="s">
        <v>46</v>
      </c>
      <c r="C28" s="1" t="s">
        <v>78</v>
      </c>
      <c r="D28" s="1" t="s">
        <v>758</v>
      </c>
      <c r="E28" s="4" t="s">
        <v>759</v>
      </c>
    </row>
  </sheetData>
  <mergeCells count="14">
    <mergeCell ref="K3:K4"/>
    <mergeCell ref="A5:J5"/>
    <mergeCell ref="A8:J8"/>
    <mergeCell ref="A11:J11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12948-8D15-4CFD-BB6A-1E7730BA15E5}">
  <dimension ref="A1:M49"/>
  <sheetViews>
    <sheetView topLeftCell="A20" workbookViewId="0">
      <selection activeCell="E24" sqref="E24:F29"/>
    </sheetView>
  </sheetViews>
  <sheetFormatPr defaultRowHeight="12.75" x14ac:dyDescent="0.2"/>
  <cols>
    <col min="1" max="1" width="28.28515625" style="4" bestFit="1" customWidth="1"/>
    <col min="2" max="2" width="28.5703125" style="1" bestFit="1" customWidth="1"/>
    <col min="3" max="3" width="10.5703125" style="1" bestFit="1" customWidth="1"/>
    <col min="4" max="4" width="8.42578125" style="1" bestFit="1" customWidth="1"/>
    <col min="5" max="5" width="22.7109375" style="5" bestFit="1" customWidth="1"/>
    <col min="6" max="6" width="28.42578125" style="5" bestFit="1" customWidth="1"/>
    <col min="7" max="9" width="5.5703125" style="1" bestFit="1" customWidth="1"/>
    <col min="10" max="10" width="2.140625" style="1" bestFit="1" customWidth="1"/>
    <col min="11" max="11" width="11.28515625" style="4" bestFit="1" customWidth="1"/>
    <col min="12" max="12" width="8.5703125" style="1" bestFit="1" customWidth="1"/>
    <col min="13" max="13" width="14.5703125" style="5" bestFit="1" customWidth="1"/>
    <col min="14" max="16384" width="9.140625" style="1"/>
  </cols>
  <sheetData>
    <row r="1" spans="1:13" ht="29.1" customHeight="1" x14ac:dyDescent="0.2">
      <c r="A1" s="44" t="s">
        <v>81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2" customFormat="1" ht="12.75" customHeight="1" x14ac:dyDescent="0.2">
      <c r="A3" s="50" t="s">
        <v>0</v>
      </c>
      <c r="B3" s="52" t="s">
        <v>14</v>
      </c>
      <c r="C3" s="52" t="s">
        <v>15</v>
      </c>
      <c r="D3" s="54" t="s">
        <v>18</v>
      </c>
      <c r="E3" s="54" t="s">
        <v>3</v>
      </c>
      <c r="F3" s="54" t="s">
        <v>16</v>
      </c>
      <c r="G3" s="56"/>
      <c r="H3" s="56"/>
      <c r="I3" s="56"/>
      <c r="J3" s="56"/>
      <c r="K3" s="58" t="s">
        <v>13</v>
      </c>
      <c r="L3" s="54" t="s">
        <v>2</v>
      </c>
      <c r="M3" s="38" t="s">
        <v>1</v>
      </c>
    </row>
    <row r="4" spans="1:13" s="2" customFormat="1" ht="21" customHeight="1" thickBot="1" x14ac:dyDescent="0.25">
      <c r="A4" s="51"/>
      <c r="B4" s="53"/>
      <c r="C4" s="53"/>
      <c r="D4" s="53"/>
      <c r="E4" s="53"/>
      <c r="F4" s="53"/>
      <c r="G4" s="3" t="s">
        <v>5</v>
      </c>
      <c r="H4" s="3" t="s">
        <v>6</v>
      </c>
      <c r="I4" s="3" t="s">
        <v>7</v>
      </c>
      <c r="J4" s="3" t="s">
        <v>8</v>
      </c>
      <c r="K4" s="59"/>
      <c r="L4" s="53"/>
      <c r="M4" s="39"/>
    </row>
    <row r="5" spans="1:13" ht="15" x14ac:dyDescent="0.2">
      <c r="A5" s="40" t="s">
        <v>20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3" x14ac:dyDescent="0.2">
      <c r="A6" s="6" t="s">
        <v>83</v>
      </c>
      <c r="B6" s="7" t="s">
        <v>84</v>
      </c>
      <c r="C6" s="7" t="s">
        <v>24</v>
      </c>
      <c r="D6" s="7" t="str">
        <f>"0,8530"</f>
        <v>0,8530</v>
      </c>
      <c r="E6" s="8" t="s">
        <v>40</v>
      </c>
      <c r="F6" s="8" t="s">
        <v>41</v>
      </c>
      <c r="G6" s="7" t="s">
        <v>85</v>
      </c>
      <c r="H6" s="7" t="s">
        <v>86</v>
      </c>
      <c r="I6" s="9" t="s">
        <v>87</v>
      </c>
      <c r="J6" s="9"/>
      <c r="K6" s="6" t="str">
        <f>"95,0"</f>
        <v>95,0</v>
      </c>
      <c r="L6" s="7" t="str">
        <f>"97,5719"</f>
        <v>97,5719</v>
      </c>
      <c r="M6" s="8" t="s">
        <v>88</v>
      </c>
    </row>
    <row r="8" spans="1:13" ht="15" x14ac:dyDescent="0.2">
      <c r="A8" s="42" t="s">
        <v>20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3" x14ac:dyDescent="0.2">
      <c r="A9" s="6" t="s">
        <v>90</v>
      </c>
      <c r="B9" s="7" t="s">
        <v>91</v>
      </c>
      <c r="C9" s="7" t="s">
        <v>92</v>
      </c>
      <c r="D9" s="7" t="str">
        <f>"0,6920"</f>
        <v>0,6920</v>
      </c>
      <c r="E9" s="8" t="s">
        <v>25</v>
      </c>
      <c r="F9" s="8" t="s">
        <v>41</v>
      </c>
      <c r="G9" s="7" t="s">
        <v>93</v>
      </c>
      <c r="H9" s="7" t="s">
        <v>32</v>
      </c>
      <c r="I9" s="7" t="s">
        <v>94</v>
      </c>
      <c r="J9" s="9"/>
      <c r="K9" s="6" t="str">
        <f>"162,5"</f>
        <v>162,5</v>
      </c>
      <c r="L9" s="7" t="str">
        <f>"112,4419"</f>
        <v>112,4419</v>
      </c>
      <c r="M9" s="8" t="s">
        <v>34</v>
      </c>
    </row>
    <row r="11" spans="1:13" ht="15" x14ac:dyDescent="0.2">
      <c r="A11" s="42" t="s">
        <v>95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1:13" x14ac:dyDescent="0.2">
      <c r="A12" s="19" t="s">
        <v>97</v>
      </c>
      <c r="B12" s="20" t="s">
        <v>98</v>
      </c>
      <c r="C12" s="20" t="s">
        <v>99</v>
      </c>
      <c r="D12" s="20" t="str">
        <f>"0,6137"</f>
        <v>0,6137</v>
      </c>
      <c r="E12" s="21" t="s">
        <v>40</v>
      </c>
      <c r="F12" s="21" t="s">
        <v>100</v>
      </c>
      <c r="G12" s="20" t="s">
        <v>101</v>
      </c>
      <c r="H12" s="20" t="s">
        <v>102</v>
      </c>
      <c r="I12" s="22" t="s">
        <v>103</v>
      </c>
      <c r="J12" s="22"/>
      <c r="K12" s="19" t="str">
        <f>"180,0"</f>
        <v>180,0</v>
      </c>
      <c r="L12" s="20" t="str">
        <f>"110,4750"</f>
        <v>110,4750</v>
      </c>
      <c r="M12" s="21" t="s">
        <v>34</v>
      </c>
    </row>
    <row r="13" spans="1:13" x14ac:dyDescent="0.2">
      <c r="A13" s="23" t="s">
        <v>105</v>
      </c>
      <c r="B13" s="24" t="s">
        <v>106</v>
      </c>
      <c r="C13" s="24" t="s">
        <v>107</v>
      </c>
      <c r="D13" s="24" t="str">
        <f>"0,6119"</f>
        <v>0,6119</v>
      </c>
      <c r="E13" s="25" t="s">
        <v>40</v>
      </c>
      <c r="F13" s="25" t="s">
        <v>108</v>
      </c>
      <c r="G13" s="24" t="s">
        <v>87</v>
      </c>
      <c r="H13" s="24" t="s">
        <v>30</v>
      </c>
      <c r="I13" s="24" t="s">
        <v>109</v>
      </c>
      <c r="J13" s="26"/>
      <c r="K13" s="23" t="str">
        <f>"115,0"</f>
        <v>115,0</v>
      </c>
      <c r="L13" s="24" t="str">
        <f>"120,8832"</f>
        <v>120,8832</v>
      </c>
      <c r="M13" s="25" t="s">
        <v>34</v>
      </c>
    </row>
    <row r="15" spans="1:13" ht="15" x14ac:dyDescent="0.2">
      <c r="A15" s="42" t="s">
        <v>58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3" x14ac:dyDescent="0.2">
      <c r="A16" s="6" t="s">
        <v>111</v>
      </c>
      <c r="B16" s="7" t="s">
        <v>112</v>
      </c>
      <c r="C16" s="7" t="s">
        <v>113</v>
      </c>
      <c r="D16" s="7" t="str">
        <f>"0,6040"</f>
        <v>0,6040</v>
      </c>
      <c r="E16" s="8" t="s">
        <v>40</v>
      </c>
      <c r="F16" s="8" t="s">
        <v>114</v>
      </c>
      <c r="G16" s="9" t="s">
        <v>115</v>
      </c>
      <c r="H16" s="9" t="s">
        <v>115</v>
      </c>
      <c r="I16" s="9" t="s">
        <v>115</v>
      </c>
      <c r="J16" s="9"/>
      <c r="K16" s="6" t="str">
        <f>"0.00"</f>
        <v>0.00</v>
      </c>
      <c r="L16" s="7" t="str">
        <f>"0,0000"</f>
        <v>0,0000</v>
      </c>
      <c r="M16" s="8" t="s">
        <v>34</v>
      </c>
    </row>
    <row r="18" spans="1:13" ht="15" x14ac:dyDescent="0.2">
      <c r="A18" s="42" t="s">
        <v>35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3" x14ac:dyDescent="0.2">
      <c r="A19" s="6" t="s">
        <v>117</v>
      </c>
      <c r="B19" s="7" t="s">
        <v>118</v>
      </c>
      <c r="C19" s="7" t="s">
        <v>119</v>
      </c>
      <c r="D19" s="7" t="str">
        <f>"0,5642"</f>
        <v>0,5642</v>
      </c>
      <c r="E19" s="8" t="s">
        <v>40</v>
      </c>
      <c r="F19" s="8" t="s">
        <v>41</v>
      </c>
      <c r="G19" s="7" t="s">
        <v>102</v>
      </c>
      <c r="H19" s="7" t="s">
        <v>120</v>
      </c>
      <c r="I19" s="9" t="s">
        <v>42</v>
      </c>
      <c r="J19" s="9"/>
      <c r="K19" s="6" t="str">
        <f>"190,0"</f>
        <v>190,0</v>
      </c>
      <c r="L19" s="7" t="str">
        <f>"107,2075"</f>
        <v>107,2075</v>
      </c>
      <c r="M19" s="8" t="s">
        <v>34</v>
      </c>
    </row>
    <row r="21" spans="1:13" ht="15" x14ac:dyDescent="0.2">
      <c r="A21" s="42" t="s">
        <v>65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3" x14ac:dyDescent="0.2">
      <c r="A22" s="6" t="s">
        <v>122</v>
      </c>
      <c r="B22" s="7" t="s">
        <v>123</v>
      </c>
      <c r="C22" s="7" t="s">
        <v>124</v>
      </c>
      <c r="D22" s="7" t="str">
        <f>"0,5552"</f>
        <v>0,5552</v>
      </c>
      <c r="E22" s="8" t="s">
        <v>40</v>
      </c>
      <c r="F22" s="8" t="s">
        <v>41</v>
      </c>
      <c r="G22" s="7" t="s">
        <v>120</v>
      </c>
      <c r="H22" s="7" t="s">
        <v>42</v>
      </c>
      <c r="I22" s="9" t="s">
        <v>73</v>
      </c>
      <c r="J22" s="9"/>
      <c r="K22" s="6" t="str">
        <f>"200,0"</f>
        <v>200,0</v>
      </c>
      <c r="L22" s="7" t="str">
        <f>"111,0500"</f>
        <v>111,0500</v>
      </c>
      <c r="M22" s="8" t="s">
        <v>34</v>
      </c>
    </row>
    <row r="24" spans="1:13" ht="15" x14ac:dyDescent="0.2">
      <c r="E24" s="10" t="s">
        <v>760</v>
      </c>
    </row>
    <row r="25" spans="1:13" ht="15" x14ac:dyDescent="0.2">
      <c r="E25" s="10" t="s">
        <v>761</v>
      </c>
    </row>
    <row r="26" spans="1:13" ht="15" x14ac:dyDescent="0.2">
      <c r="E26" s="10" t="s">
        <v>762</v>
      </c>
    </row>
    <row r="27" spans="1:13" ht="15" x14ac:dyDescent="0.2">
      <c r="E27" s="10" t="s">
        <v>763</v>
      </c>
    </row>
    <row r="28" spans="1:13" ht="15" x14ac:dyDescent="0.2">
      <c r="E28" s="10" t="s">
        <v>765</v>
      </c>
    </row>
    <row r="29" spans="1:13" ht="15" x14ac:dyDescent="0.2">
      <c r="E29" s="10" t="s">
        <v>764</v>
      </c>
    </row>
    <row r="30" spans="1:13" ht="15" x14ac:dyDescent="0.2">
      <c r="E30" s="10"/>
    </row>
    <row r="32" spans="1:13" ht="18" x14ac:dyDescent="0.25">
      <c r="A32" s="11" t="s">
        <v>44</v>
      </c>
      <c r="B32" s="12"/>
    </row>
    <row r="33" spans="1:5" ht="15" x14ac:dyDescent="0.2">
      <c r="A33" s="13" t="s">
        <v>125</v>
      </c>
      <c r="B33" s="14"/>
    </row>
    <row r="34" spans="1:5" ht="14.25" x14ac:dyDescent="0.2">
      <c r="A34" s="16"/>
      <c r="B34" s="17" t="s">
        <v>126</v>
      </c>
    </row>
    <row r="35" spans="1:5" ht="15" x14ac:dyDescent="0.2">
      <c r="A35" s="18" t="s">
        <v>47</v>
      </c>
      <c r="B35" s="18" t="s">
        <v>48</v>
      </c>
      <c r="C35" s="18" t="s">
        <v>49</v>
      </c>
      <c r="D35" s="18" t="s">
        <v>50</v>
      </c>
      <c r="E35" s="18" t="s">
        <v>51</v>
      </c>
    </row>
    <row r="36" spans="1:5" x14ac:dyDescent="0.2">
      <c r="A36" s="15" t="s">
        <v>82</v>
      </c>
      <c r="B36" s="1" t="s">
        <v>127</v>
      </c>
      <c r="C36" s="1" t="s">
        <v>54</v>
      </c>
      <c r="D36" s="1" t="s">
        <v>86</v>
      </c>
      <c r="E36" s="4" t="s">
        <v>128</v>
      </c>
    </row>
    <row r="39" spans="1:5" ht="15" x14ac:dyDescent="0.2">
      <c r="A39" s="13" t="s">
        <v>45</v>
      </c>
      <c r="B39" s="14"/>
    </row>
    <row r="40" spans="1:5" ht="14.25" x14ac:dyDescent="0.2">
      <c r="A40" s="16"/>
      <c r="B40" s="17" t="s">
        <v>46</v>
      </c>
    </row>
    <row r="41" spans="1:5" ht="15" x14ac:dyDescent="0.2">
      <c r="A41" s="18" t="s">
        <v>47</v>
      </c>
      <c r="B41" s="18" t="s">
        <v>48</v>
      </c>
      <c r="C41" s="18" t="s">
        <v>49</v>
      </c>
      <c r="D41" s="18" t="s">
        <v>50</v>
      </c>
      <c r="E41" s="18" t="s">
        <v>51</v>
      </c>
    </row>
    <row r="42" spans="1:5" x14ac:dyDescent="0.2">
      <c r="A42" s="15" t="s">
        <v>89</v>
      </c>
      <c r="B42" s="1" t="s">
        <v>46</v>
      </c>
      <c r="C42" s="1" t="s">
        <v>54</v>
      </c>
      <c r="D42" s="1" t="s">
        <v>94</v>
      </c>
      <c r="E42" s="4" t="s">
        <v>129</v>
      </c>
    </row>
    <row r="43" spans="1:5" x14ac:dyDescent="0.2">
      <c r="A43" s="15" t="s">
        <v>121</v>
      </c>
      <c r="B43" s="1" t="s">
        <v>46</v>
      </c>
      <c r="C43" s="1" t="s">
        <v>78</v>
      </c>
      <c r="D43" s="1" t="s">
        <v>42</v>
      </c>
      <c r="E43" s="4" t="s">
        <v>130</v>
      </c>
    </row>
    <row r="44" spans="1:5" x14ac:dyDescent="0.2">
      <c r="A44" s="15" t="s">
        <v>96</v>
      </c>
      <c r="B44" s="1" t="s">
        <v>46</v>
      </c>
      <c r="C44" s="1" t="s">
        <v>85</v>
      </c>
      <c r="D44" s="1" t="s">
        <v>102</v>
      </c>
      <c r="E44" s="4" t="s">
        <v>131</v>
      </c>
    </row>
    <row r="45" spans="1:5" x14ac:dyDescent="0.2">
      <c r="A45" s="15" t="s">
        <v>116</v>
      </c>
      <c r="B45" s="1" t="s">
        <v>46</v>
      </c>
      <c r="C45" s="1" t="s">
        <v>30</v>
      </c>
      <c r="D45" s="1" t="s">
        <v>120</v>
      </c>
      <c r="E45" s="4" t="s">
        <v>132</v>
      </c>
    </row>
    <row r="47" spans="1:5" ht="14.25" x14ac:dyDescent="0.2">
      <c r="A47" s="16"/>
      <c r="B47" s="17" t="s">
        <v>126</v>
      </c>
    </row>
    <row r="48" spans="1:5" ht="15" x14ac:dyDescent="0.2">
      <c r="A48" s="18" t="s">
        <v>47</v>
      </c>
      <c r="B48" s="18" t="s">
        <v>48</v>
      </c>
      <c r="C48" s="18" t="s">
        <v>49</v>
      </c>
      <c r="D48" s="18" t="s">
        <v>50</v>
      </c>
      <c r="E48" s="18" t="s">
        <v>51</v>
      </c>
    </row>
    <row r="49" spans="1:5" x14ac:dyDescent="0.2">
      <c r="A49" s="15" t="s">
        <v>104</v>
      </c>
      <c r="B49" s="1" t="s">
        <v>133</v>
      </c>
      <c r="C49" s="1" t="s">
        <v>85</v>
      </c>
      <c r="D49" s="1" t="s">
        <v>109</v>
      </c>
      <c r="E49" s="4" t="s">
        <v>134</v>
      </c>
    </row>
  </sheetData>
  <mergeCells count="17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A21:L21"/>
    <mergeCell ref="M3:M4"/>
    <mergeCell ref="A5:L5"/>
    <mergeCell ref="A8:L8"/>
    <mergeCell ref="A11:L11"/>
    <mergeCell ref="A15:L15"/>
    <mergeCell ref="A18:L1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5E756-5B8B-4FBA-B23F-A758DDD27567}">
  <dimension ref="A1:U23"/>
  <sheetViews>
    <sheetView topLeftCell="A4" workbookViewId="0">
      <selection activeCell="E11" sqref="E11:F16"/>
    </sheetView>
  </sheetViews>
  <sheetFormatPr defaultRowHeight="12.75" x14ac:dyDescent="0.2"/>
  <cols>
    <col min="1" max="1" width="28.28515625" style="4" bestFit="1" customWidth="1"/>
    <col min="2" max="2" width="22.85546875" style="1" bestFit="1" customWidth="1"/>
    <col min="3" max="3" width="10.5703125" style="1" bestFit="1" customWidth="1"/>
    <col min="4" max="4" width="8.42578125" style="1" bestFit="1" customWidth="1"/>
    <col min="5" max="5" width="22.7109375" style="5" bestFit="1" customWidth="1"/>
    <col min="6" max="6" width="31.28515625" style="5" bestFit="1" customWidth="1"/>
    <col min="7" max="9" width="5.5703125" style="1" bestFit="1" customWidth="1"/>
    <col min="10" max="10" width="2.140625" style="1" bestFit="1" customWidth="1"/>
    <col min="11" max="13" width="5.5703125" style="1" bestFit="1" customWidth="1"/>
    <col min="14" max="14" width="2.140625" style="1" bestFit="1" customWidth="1"/>
    <col min="15" max="17" width="5.5703125" style="1" bestFit="1" customWidth="1"/>
    <col min="18" max="18" width="3.28515625" style="1" bestFit="1" customWidth="1"/>
    <col min="19" max="19" width="11.28515625" style="4" bestFit="1" customWidth="1"/>
    <col min="20" max="20" width="8.5703125" style="1" bestFit="1" customWidth="1"/>
    <col min="21" max="21" width="14.140625" style="5" bestFit="1" customWidth="1"/>
    <col min="22" max="16384" width="9.140625" style="1"/>
  </cols>
  <sheetData>
    <row r="1" spans="1:21" ht="29.1" customHeight="1" x14ac:dyDescent="0.2">
      <c r="A1" s="44" t="s">
        <v>57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</row>
    <row r="3" spans="1:21" s="2" customFormat="1" ht="12.75" customHeight="1" x14ac:dyDescent="0.2">
      <c r="A3" s="50" t="s">
        <v>0</v>
      </c>
      <c r="B3" s="52" t="s">
        <v>14</v>
      </c>
      <c r="C3" s="52" t="s">
        <v>15</v>
      </c>
      <c r="D3" s="54" t="s">
        <v>18</v>
      </c>
      <c r="E3" s="54" t="s">
        <v>3</v>
      </c>
      <c r="F3" s="54" t="s">
        <v>16</v>
      </c>
      <c r="G3" s="55" t="s">
        <v>19</v>
      </c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  <c r="S3" s="58" t="s">
        <v>13</v>
      </c>
      <c r="T3" s="54" t="s">
        <v>2</v>
      </c>
      <c r="U3" s="38" t="s">
        <v>1</v>
      </c>
    </row>
    <row r="4" spans="1:21" s="2" customFormat="1" ht="21" customHeight="1" thickBot="1" x14ac:dyDescent="0.25">
      <c r="A4" s="51"/>
      <c r="B4" s="53"/>
      <c r="C4" s="53"/>
      <c r="D4" s="53"/>
      <c r="E4" s="53"/>
      <c r="F4" s="53"/>
      <c r="G4" s="3">
        <v>1</v>
      </c>
      <c r="H4" s="3">
        <v>2</v>
      </c>
      <c r="I4" s="3">
        <v>3</v>
      </c>
      <c r="J4" s="3" t="s">
        <v>4</v>
      </c>
      <c r="K4" s="3" t="s">
        <v>5</v>
      </c>
      <c r="L4" s="3" t="s">
        <v>6</v>
      </c>
      <c r="M4" s="3" t="s">
        <v>7</v>
      </c>
      <c r="N4" s="3" t="s">
        <v>8</v>
      </c>
      <c r="O4" s="3" t="s">
        <v>9</v>
      </c>
      <c r="P4" s="3" t="s">
        <v>10</v>
      </c>
      <c r="Q4" s="3" t="s">
        <v>11</v>
      </c>
      <c r="R4" s="3" t="s">
        <v>12</v>
      </c>
      <c r="S4" s="59"/>
      <c r="T4" s="53"/>
      <c r="U4" s="39"/>
    </row>
    <row r="5" spans="1:21" ht="15" x14ac:dyDescent="0.2">
      <c r="A5" s="40" t="s">
        <v>58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1" x14ac:dyDescent="0.2">
      <c r="A6" s="6" t="s">
        <v>59</v>
      </c>
      <c r="B6" s="7" t="s">
        <v>60</v>
      </c>
      <c r="C6" s="7" t="s">
        <v>61</v>
      </c>
      <c r="D6" s="7" t="str">
        <f>"0,5823"</f>
        <v>0,5823</v>
      </c>
      <c r="E6" s="8" t="s">
        <v>40</v>
      </c>
      <c r="F6" s="8" t="s">
        <v>62</v>
      </c>
      <c r="G6" s="9" t="s">
        <v>63</v>
      </c>
      <c r="H6" s="9" t="s">
        <v>63</v>
      </c>
      <c r="I6" s="9" t="s">
        <v>63</v>
      </c>
      <c r="J6" s="9"/>
      <c r="K6" s="9" t="s">
        <v>42</v>
      </c>
      <c r="L6" s="9"/>
      <c r="M6" s="9"/>
      <c r="N6" s="9"/>
      <c r="O6" s="9" t="s">
        <v>64</v>
      </c>
      <c r="P6" s="9"/>
      <c r="Q6" s="9"/>
      <c r="R6" s="9"/>
      <c r="S6" s="6" t="str">
        <f>"0.00"</f>
        <v>0.00</v>
      </c>
      <c r="T6" s="7" t="str">
        <f>"0,0000"</f>
        <v>0,0000</v>
      </c>
      <c r="U6" s="8" t="s">
        <v>34</v>
      </c>
    </row>
    <row r="8" spans="1:21" ht="15" x14ac:dyDescent="0.2">
      <c r="A8" s="42" t="s">
        <v>65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1:21" x14ac:dyDescent="0.2">
      <c r="A9" s="6" t="s">
        <v>67</v>
      </c>
      <c r="B9" s="7" t="s">
        <v>68</v>
      </c>
      <c r="C9" s="7" t="s">
        <v>69</v>
      </c>
      <c r="D9" s="7" t="str">
        <f>"0,5555"</f>
        <v>0,5555</v>
      </c>
      <c r="E9" s="8" t="s">
        <v>40</v>
      </c>
      <c r="F9" s="8" t="s">
        <v>41</v>
      </c>
      <c r="G9" s="7" t="s">
        <v>70</v>
      </c>
      <c r="H9" s="7" t="s">
        <v>71</v>
      </c>
      <c r="I9" s="7" t="s">
        <v>72</v>
      </c>
      <c r="J9" s="9"/>
      <c r="K9" s="7" t="s">
        <v>42</v>
      </c>
      <c r="L9" s="7" t="s">
        <v>73</v>
      </c>
      <c r="M9" s="7" t="s">
        <v>43</v>
      </c>
      <c r="N9" s="9"/>
      <c r="O9" s="7" t="s">
        <v>74</v>
      </c>
      <c r="P9" s="7" t="s">
        <v>75</v>
      </c>
      <c r="Q9" s="7" t="s">
        <v>76</v>
      </c>
      <c r="R9" s="9"/>
      <c r="S9" s="6" t="str">
        <f>"870,0"</f>
        <v>870,0</v>
      </c>
      <c r="T9" s="7" t="str">
        <f>"483,2415"</f>
        <v>483,2415</v>
      </c>
      <c r="U9" s="8" t="s">
        <v>77</v>
      </c>
    </row>
    <row r="11" spans="1:21" ht="15" x14ac:dyDescent="0.2">
      <c r="E11" s="10" t="s">
        <v>760</v>
      </c>
    </row>
    <row r="12" spans="1:21" ht="15" x14ac:dyDescent="0.2">
      <c r="E12" s="10" t="s">
        <v>761</v>
      </c>
    </row>
    <row r="13" spans="1:21" ht="15" x14ac:dyDescent="0.2">
      <c r="E13" s="10" t="s">
        <v>762</v>
      </c>
    </row>
    <row r="14" spans="1:21" ht="15" x14ac:dyDescent="0.2">
      <c r="E14" s="10" t="s">
        <v>763</v>
      </c>
    </row>
    <row r="15" spans="1:21" ht="15" x14ac:dyDescent="0.2">
      <c r="E15" s="10" t="s">
        <v>765</v>
      </c>
    </row>
    <row r="16" spans="1:21" ht="15" x14ac:dyDescent="0.2">
      <c r="E16" s="10" t="s">
        <v>764</v>
      </c>
    </row>
    <row r="17" spans="1:5" ht="15" x14ac:dyDescent="0.2">
      <c r="E17" s="10"/>
    </row>
    <row r="19" spans="1:5" ht="18" x14ac:dyDescent="0.25">
      <c r="A19" s="11" t="s">
        <v>44</v>
      </c>
      <c r="B19" s="12"/>
    </row>
    <row r="20" spans="1:5" ht="15" x14ac:dyDescent="0.2">
      <c r="A20" s="13" t="s">
        <v>45</v>
      </c>
      <c r="B20" s="14"/>
    </row>
    <row r="21" spans="1:5" ht="14.25" x14ac:dyDescent="0.2">
      <c r="A21" s="16"/>
      <c r="B21" s="17" t="s">
        <v>46</v>
      </c>
    </row>
    <row r="22" spans="1:5" ht="15" x14ac:dyDescent="0.2">
      <c r="A22" s="18" t="s">
        <v>47</v>
      </c>
      <c r="B22" s="18" t="s">
        <v>48</v>
      </c>
      <c r="C22" s="18" t="s">
        <v>49</v>
      </c>
      <c r="D22" s="18" t="s">
        <v>50</v>
      </c>
      <c r="E22" s="18" t="s">
        <v>51</v>
      </c>
    </row>
    <row r="23" spans="1:5" x14ac:dyDescent="0.2">
      <c r="A23" s="15" t="s">
        <v>66</v>
      </c>
      <c r="B23" s="1" t="s">
        <v>46</v>
      </c>
      <c r="C23" s="1" t="s">
        <v>78</v>
      </c>
      <c r="D23" s="1" t="s">
        <v>79</v>
      </c>
      <c r="E23" s="4" t="s">
        <v>80</v>
      </c>
    </row>
  </sheetData>
  <mergeCells count="13">
    <mergeCell ref="U3:U4"/>
    <mergeCell ref="A5:T5"/>
    <mergeCell ref="A8:T8"/>
    <mergeCell ref="A1:U2"/>
    <mergeCell ref="A3:A4"/>
    <mergeCell ref="B3:B4"/>
    <mergeCell ref="C3:C4"/>
    <mergeCell ref="D3:D4"/>
    <mergeCell ref="E3:E4"/>
    <mergeCell ref="F3:F4"/>
    <mergeCell ref="G3:R3"/>
    <mergeCell ref="S3:S4"/>
    <mergeCell ref="T3:T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U24"/>
  <sheetViews>
    <sheetView zoomScaleNormal="100" workbookViewId="0">
      <selection activeCell="F16" sqref="E11:F16"/>
    </sheetView>
  </sheetViews>
  <sheetFormatPr defaultRowHeight="12.75" x14ac:dyDescent="0.2"/>
  <cols>
    <col min="1" max="1" width="28.28515625" style="4" bestFit="1" customWidth="1"/>
    <col min="2" max="2" width="22.85546875" style="1" bestFit="1" customWidth="1"/>
    <col min="3" max="3" width="10.5703125" style="1" bestFit="1" customWidth="1"/>
    <col min="4" max="4" width="8.42578125" style="1" bestFit="1" customWidth="1"/>
    <col min="5" max="5" width="22.7109375" style="5" bestFit="1" customWidth="1"/>
    <col min="6" max="6" width="25.28515625" style="5" bestFit="1" customWidth="1"/>
    <col min="7" max="9" width="5.5703125" style="1" bestFit="1" customWidth="1"/>
    <col min="10" max="10" width="2.140625" style="1" bestFit="1" customWidth="1"/>
    <col min="11" max="13" width="5.5703125" style="1" bestFit="1" customWidth="1"/>
    <col min="14" max="14" width="2.140625" style="1" bestFit="1" customWidth="1"/>
    <col min="15" max="17" width="5.5703125" style="1" bestFit="1" customWidth="1"/>
    <col min="18" max="18" width="3.28515625" style="1" bestFit="1" customWidth="1"/>
    <col min="19" max="19" width="11.28515625" style="4" bestFit="1" customWidth="1"/>
    <col min="20" max="20" width="8.5703125" style="1" bestFit="1" customWidth="1"/>
    <col min="21" max="21" width="8.85546875" style="5" bestFit="1" customWidth="1"/>
    <col min="22" max="16384" width="9.140625" style="1"/>
  </cols>
  <sheetData>
    <row r="1" spans="1:21" ht="29.1" customHeight="1" x14ac:dyDescent="0.2">
      <c r="A1" s="44" t="s">
        <v>17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</row>
    <row r="3" spans="1:21" s="2" customFormat="1" ht="12.75" customHeight="1" x14ac:dyDescent="0.2">
      <c r="A3" s="50" t="s">
        <v>0</v>
      </c>
      <c r="B3" s="52" t="s">
        <v>14</v>
      </c>
      <c r="C3" s="52" t="s">
        <v>15</v>
      </c>
      <c r="D3" s="54" t="s">
        <v>18</v>
      </c>
      <c r="E3" s="54" t="s">
        <v>3</v>
      </c>
      <c r="F3" s="54" t="s">
        <v>16</v>
      </c>
      <c r="G3" s="55" t="s">
        <v>19</v>
      </c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  <c r="S3" s="58" t="s">
        <v>13</v>
      </c>
      <c r="T3" s="54" t="s">
        <v>2</v>
      </c>
      <c r="U3" s="38" t="s">
        <v>1</v>
      </c>
    </row>
    <row r="4" spans="1:21" s="2" customFormat="1" ht="21" customHeight="1" thickBot="1" x14ac:dyDescent="0.25">
      <c r="A4" s="51"/>
      <c r="B4" s="53"/>
      <c r="C4" s="53"/>
      <c r="D4" s="53"/>
      <c r="E4" s="53"/>
      <c r="F4" s="53"/>
      <c r="G4" s="3">
        <v>1</v>
      </c>
      <c r="H4" s="3">
        <v>2</v>
      </c>
      <c r="I4" s="3">
        <v>3</v>
      </c>
      <c r="J4" s="3" t="s">
        <v>4</v>
      </c>
      <c r="K4" s="3" t="s">
        <v>5</v>
      </c>
      <c r="L4" s="3" t="s">
        <v>6</v>
      </c>
      <c r="M4" s="3" t="s">
        <v>7</v>
      </c>
      <c r="N4" s="3" t="s">
        <v>8</v>
      </c>
      <c r="O4" s="3" t="s">
        <v>9</v>
      </c>
      <c r="P4" s="3" t="s">
        <v>10</v>
      </c>
      <c r="Q4" s="3" t="s">
        <v>11</v>
      </c>
      <c r="R4" s="3" t="s">
        <v>12</v>
      </c>
      <c r="S4" s="59"/>
      <c r="T4" s="53"/>
      <c r="U4" s="39"/>
    </row>
    <row r="5" spans="1:21" ht="15" x14ac:dyDescent="0.2">
      <c r="A5" s="40" t="s">
        <v>20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1" x14ac:dyDescent="0.2">
      <c r="A6" s="6" t="s">
        <v>22</v>
      </c>
      <c r="B6" s="7" t="s">
        <v>23</v>
      </c>
      <c r="C6" s="7" t="s">
        <v>24</v>
      </c>
      <c r="D6" s="7" t="str">
        <f>"0,7042"</f>
        <v>0,7042</v>
      </c>
      <c r="E6" s="8" t="s">
        <v>25</v>
      </c>
      <c r="F6" s="8" t="s">
        <v>26</v>
      </c>
      <c r="G6" s="7" t="s">
        <v>27</v>
      </c>
      <c r="H6" s="9" t="s">
        <v>28</v>
      </c>
      <c r="I6" s="9" t="s">
        <v>28</v>
      </c>
      <c r="J6" s="9"/>
      <c r="K6" s="7" t="s">
        <v>29</v>
      </c>
      <c r="L6" s="9" t="s">
        <v>30</v>
      </c>
      <c r="M6" s="7" t="s">
        <v>30</v>
      </c>
      <c r="N6" s="9"/>
      <c r="O6" s="7" t="s">
        <v>31</v>
      </c>
      <c r="P6" s="7" t="s">
        <v>32</v>
      </c>
      <c r="Q6" s="7" t="s">
        <v>33</v>
      </c>
      <c r="R6" s="9"/>
      <c r="S6" s="6" t="str">
        <f>"420,0"</f>
        <v>420,0</v>
      </c>
      <c r="T6" s="7" t="str">
        <f>"295,7430"</f>
        <v>295,7430</v>
      </c>
      <c r="U6" s="8" t="s">
        <v>34</v>
      </c>
    </row>
    <row r="8" spans="1:21" ht="15" x14ac:dyDescent="0.2">
      <c r="A8" s="42" t="s">
        <v>35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1:21" x14ac:dyDescent="0.2">
      <c r="A9" s="6" t="s">
        <v>37</v>
      </c>
      <c r="B9" s="7" t="s">
        <v>38</v>
      </c>
      <c r="C9" s="7" t="s">
        <v>39</v>
      </c>
      <c r="D9" s="7" t="str">
        <f>"0,5809"</f>
        <v>0,5809</v>
      </c>
      <c r="E9" s="8" t="s">
        <v>40</v>
      </c>
      <c r="F9" s="8" t="s">
        <v>41</v>
      </c>
      <c r="G9" s="9" t="s">
        <v>32</v>
      </c>
      <c r="H9" s="7" t="s">
        <v>32</v>
      </c>
      <c r="I9" s="7" t="s">
        <v>33</v>
      </c>
      <c r="J9" s="9"/>
      <c r="K9" s="7" t="s">
        <v>27</v>
      </c>
      <c r="L9" s="7" t="s">
        <v>28</v>
      </c>
      <c r="M9" s="7" t="s">
        <v>32</v>
      </c>
      <c r="N9" s="9"/>
      <c r="O9" s="9" t="s">
        <v>42</v>
      </c>
      <c r="P9" s="7" t="s">
        <v>42</v>
      </c>
      <c r="Q9" s="7" t="s">
        <v>43</v>
      </c>
      <c r="R9" s="9"/>
      <c r="S9" s="6" t="str">
        <f>"550,0"</f>
        <v>550,0</v>
      </c>
      <c r="T9" s="7" t="str">
        <f>"319,4675"</f>
        <v>319,4675</v>
      </c>
      <c r="U9" s="8" t="s">
        <v>34</v>
      </c>
    </row>
    <row r="11" spans="1:21" ht="15" x14ac:dyDescent="0.2">
      <c r="E11" s="10" t="s">
        <v>760</v>
      </c>
    </row>
    <row r="12" spans="1:21" ht="15" x14ac:dyDescent="0.2">
      <c r="E12" s="10" t="s">
        <v>761</v>
      </c>
    </row>
    <row r="13" spans="1:21" ht="15" x14ac:dyDescent="0.2">
      <c r="E13" s="10" t="s">
        <v>762</v>
      </c>
    </row>
    <row r="14" spans="1:21" ht="15" x14ac:dyDescent="0.2">
      <c r="E14" s="10" t="s">
        <v>763</v>
      </c>
    </row>
    <row r="15" spans="1:21" ht="15" x14ac:dyDescent="0.2">
      <c r="E15" s="10" t="s">
        <v>765</v>
      </c>
    </row>
    <row r="16" spans="1:21" ht="15" x14ac:dyDescent="0.2">
      <c r="E16" s="10" t="s">
        <v>764</v>
      </c>
    </row>
    <row r="17" spans="1:5" ht="15" x14ac:dyDescent="0.2">
      <c r="E17" s="10"/>
    </row>
    <row r="19" spans="1:5" ht="18" x14ac:dyDescent="0.25">
      <c r="A19" s="11" t="s">
        <v>44</v>
      </c>
      <c r="B19" s="12"/>
    </row>
    <row r="20" spans="1:5" ht="15" x14ac:dyDescent="0.2">
      <c r="A20" s="13" t="s">
        <v>45</v>
      </c>
      <c r="B20" s="14"/>
    </row>
    <row r="21" spans="1:5" ht="14.25" x14ac:dyDescent="0.2">
      <c r="A21" s="16"/>
      <c r="B21" s="17" t="s">
        <v>46</v>
      </c>
    </row>
    <row r="22" spans="1:5" ht="15" x14ac:dyDescent="0.2">
      <c r="A22" s="18" t="s">
        <v>47</v>
      </c>
      <c r="B22" s="18" t="s">
        <v>48</v>
      </c>
      <c r="C22" s="18" t="s">
        <v>49</v>
      </c>
      <c r="D22" s="18" t="s">
        <v>50</v>
      </c>
      <c r="E22" s="18" t="s">
        <v>51</v>
      </c>
    </row>
    <row r="23" spans="1:5" x14ac:dyDescent="0.2">
      <c r="A23" s="15" t="s">
        <v>36</v>
      </c>
      <c r="B23" s="1" t="s">
        <v>46</v>
      </c>
      <c r="C23" s="1" t="s">
        <v>30</v>
      </c>
      <c r="D23" s="1" t="s">
        <v>52</v>
      </c>
      <c r="E23" s="4" t="s">
        <v>53</v>
      </c>
    </row>
    <row r="24" spans="1:5" x14ac:dyDescent="0.2">
      <c r="A24" s="15" t="s">
        <v>21</v>
      </c>
      <c r="B24" s="1" t="s">
        <v>46</v>
      </c>
      <c r="C24" s="1" t="s">
        <v>54</v>
      </c>
      <c r="D24" s="1" t="s">
        <v>55</v>
      </c>
      <c r="E24" s="4" t="s">
        <v>56</v>
      </c>
    </row>
  </sheetData>
  <mergeCells count="13">
    <mergeCell ref="A5:T5"/>
    <mergeCell ref="A8:T8"/>
    <mergeCell ref="A1:U2"/>
    <mergeCell ref="A3:A4"/>
    <mergeCell ref="B3:B4"/>
    <mergeCell ref="C3:C4"/>
    <mergeCell ref="U3:U4"/>
    <mergeCell ref="F3:F4"/>
    <mergeCell ref="E3:E4"/>
    <mergeCell ref="G3:R3"/>
    <mergeCell ref="D3:D4"/>
    <mergeCell ref="S3:S4"/>
    <mergeCell ref="T3:T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46B8E-48A0-443E-B2C4-310110AC517E}">
  <dimension ref="A1:K37"/>
  <sheetViews>
    <sheetView topLeftCell="A15" workbookViewId="0">
      <selection activeCell="E17" sqref="E17:F22"/>
    </sheetView>
  </sheetViews>
  <sheetFormatPr defaultRowHeight="12.75" x14ac:dyDescent="0.2"/>
  <cols>
    <col min="1" max="1" width="28.28515625" style="4" bestFit="1" customWidth="1"/>
    <col min="2" max="2" width="28.5703125" style="1" bestFit="1" customWidth="1"/>
    <col min="3" max="3" width="10.5703125" style="1" bestFit="1" customWidth="1"/>
    <col min="4" max="4" width="8.42578125" style="1" bestFit="1" customWidth="1"/>
    <col min="5" max="5" width="22.7109375" style="5" bestFit="1" customWidth="1"/>
    <col min="6" max="6" width="31.7109375" style="5" bestFit="1" customWidth="1"/>
    <col min="7" max="7" width="4.5703125" style="1" bestFit="1" customWidth="1"/>
    <col min="8" max="8" width="4.5703125" style="36" bestFit="1" customWidth="1"/>
    <col min="9" max="9" width="11.28515625" style="4" bestFit="1" customWidth="1"/>
    <col min="10" max="10" width="9.5703125" style="1" bestFit="1" customWidth="1"/>
    <col min="11" max="11" width="18.140625" style="5" bestFit="1" customWidth="1"/>
    <col min="12" max="16384" width="9.140625" style="1"/>
  </cols>
  <sheetData>
    <row r="1" spans="1:11" ht="29.1" customHeight="1" x14ac:dyDescent="0.2">
      <c r="A1" s="44" t="s">
        <v>703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s="2" customFormat="1" ht="12.75" customHeight="1" x14ac:dyDescent="0.2">
      <c r="A3" s="50" t="s">
        <v>0</v>
      </c>
      <c r="B3" s="52" t="s">
        <v>14</v>
      </c>
      <c r="C3" s="52" t="s">
        <v>15</v>
      </c>
      <c r="D3" s="54" t="s">
        <v>18</v>
      </c>
      <c r="E3" s="54" t="s">
        <v>3</v>
      </c>
      <c r="F3" s="54" t="s">
        <v>16</v>
      </c>
      <c r="G3" s="56"/>
      <c r="H3" s="56"/>
      <c r="I3" s="58" t="s">
        <v>740</v>
      </c>
      <c r="J3" s="54" t="s">
        <v>2</v>
      </c>
      <c r="K3" s="38" t="s">
        <v>1</v>
      </c>
    </row>
    <row r="4" spans="1:11" s="2" customFormat="1" ht="21" customHeight="1" thickBot="1" x14ac:dyDescent="0.25">
      <c r="A4" s="51"/>
      <c r="B4" s="53"/>
      <c r="C4" s="53"/>
      <c r="D4" s="53"/>
      <c r="E4" s="53"/>
      <c r="F4" s="53"/>
      <c r="G4" s="3" t="s">
        <v>738</v>
      </c>
      <c r="H4" s="31" t="s">
        <v>739</v>
      </c>
      <c r="I4" s="59"/>
      <c r="J4" s="53"/>
      <c r="K4" s="39"/>
    </row>
    <row r="5" spans="1:11" ht="15" x14ac:dyDescent="0.2">
      <c r="A5" s="40" t="s">
        <v>20</v>
      </c>
      <c r="B5" s="41"/>
      <c r="C5" s="41"/>
      <c r="D5" s="41"/>
      <c r="E5" s="41"/>
      <c r="F5" s="41"/>
      <c r="G5" s="41"/>
      <c r="H5" s="41"/>
      <c r="I5" s="41"/>
      <c r="J5" s="41"/>
    </row>
    <row r="6" spans="1:11" x14ac:dyDescent="0.2">
      <c r="A6" s="19" t="s">
        <v>705</v>
      </c>
      <c r="B6" s="20" t="s">
        <v>706</v>
      </c>
      <c r="C6" s="20" t="s">
        <v>707</v>
      </c>
      <c r="D6" s="20" t="str">
        <f>"0,6885"</f>
        <v>0,6885</v>
      </c>
      <c r="E6" s="21" t="s">
        <v>40</v>
      </c>
      <c r="F6" s="21" t="s">
        <v>41</v>
      </c>
      <c r="G6" s="20" t="s">
        <v>54</v>
      </c>
      <c r="H6" s="32" t="s">
        <v>708</v>
      </c>
      <c r="I6" s="19" t="str">
        <f>"2475,0"</f>
        <v>2475,0</v>
      </c>
      <c r="J6" s="20" t="str">
        <f>"1704,1612"</f>
        <v>1704,1612</v>
      </c>
      <c r="K6" s="21" t="s">
        <v>709</v>
      </c>
    </row>
    <row r="7" spans="1:11" x14ac:dyDescent="0.2">
      <c r="A7" s="27" t="s">
        <v>711</v>
      </c>
      <c r="B7" s="28" t="s">
        <v>712</v>
      </c>
      <c r="C7" s="28" t="s">
        <v>713</v>
      </c>
      <c r="D7" s="28" t="str">
        <f>"0,7297"</f>
        <v>0,7297</v>
      </c>
      <c r="E7" s="29" t="s">
        <v>40</v>
      </c>
      <c r="F7" s="29" t="s">
        <v>41</v>
      </c>
      <c r="G7" s="28" t="s">
        <v>144</v>
      </c>
      <c r="H7" s="33" t="s">
        <v>714</v>
      </c>
      <c r="I7" s="27" t="str">
        <f>"1610,0"</f>
        <v>1610,0</v>
      </c>
      <c r="J7" s="28" t="str">
        <f>"1174,7365"</f>
        <v>1174,7365</v>
      </c>
      <c r="K7" s="29" t="s">
        <v>34</v>
      </c>
    </row>
    <row r="8" spans="1:11" x14ac:dyDescent="0.2">
      <c r="A8" s="23" t="s">
        <v>716</v>
      </c>
      <c r="B8" s="24" t="s">
        <v>717</v>
      </c>
      <c r="C8" s="24" t="s">
        <v>314</v>
      </c>
      <c r="D8" s="24" t="str">
        <f>"0,6892"</f>
        <v>0,6892</v>
      </c>
      <c r="E8" s="25" t="s">
        <v>40</v>
      </c>
      <c r="F8" s="25" t="s">
        <v>41</v>
      </c>
      <c r="G8" s="24" t="s">
        <v>54</v>
      </c>
      <c r="H8" s="34" t="s">
        <v>145</v>
      </c>
      <c r="I8" s="23" t="str">
        <f>"2250,0"</f>
        <v>2250,0</v>
      </c>
      <c r="J8" s="24" t="str">
        <f>"1598,7717"</f>
        <v>1598,7717</v>
      </c>
      <c r="K8" s="25" t="s">
        <v>34</v>
      </c>
    </row>
    <row r="10" spans="1:11" ht="15" x14ac:dyDescent="0.2">
      <c r="A10" s="42" t="s">
        <v>95</v>
      </c>
      <c r="B10" s="43"/>
      <c r="C10" s="43"/>
      <c r="D10" s="43"/>
      <c r="E10" s="43"/>
      <c r="F10" s="43"/>
      <c r="G10" s="43"/>
      <c r="H10" s="43"/>
      <c r="I10" s="43"/>
      <c r="J10" s="43"/>
    </row>
    <row r="11" spans="1:11" x14ac:dyDescent="0.2">
      <c r="A11" s="19" t="s">
        <v>346</v>
      </c>
      <c r="B11" s="20" t="s">
        <v>347</v>
      </c>
      <c r="C11" s="20" t="s">
        <v>348</v>
      </c>
      <c r="D11" s="20" t="str">
        <f>"0,6133"</f>
        <v>0,6133</v>
      </c>
      <c r="E11" s="21" t="s">
        <v>40</v>
      </c>
      <c r="F11" s="21" t="s">
        <v>349</v>
      </c>
      <c r="G11" s="20" t="s">
        <v>85</v>
      </c>
      <c r="H11" s="32" t="s">
        <v>708</v>
      </c>
      <c r="I11" s="19" t="str">
        <f>"2970,0"</f>
        <v>2970,0</v>
      </c>
      <c r="J11" s="20" t="str">
        <f>"1821,6494"</f>
        <v>1821,6494</v>
      </c>
      <c r="K11" s="21" t="s">
        <v>34</v>
      </c>
    </row>
    <row r="12" spans="1:11" x14ac:dyDescent="0.2">
      <c r="A12" s="23" t="s">
        <v>359</v>
      </c>
      <c r="B12" s="24" t="s">
        <v>718</v>
      </c>
      <c r="C12" s="24" t="s">
        <v>361</v>
      </c>
      <c r="D12" s="24" t="str">
        <f>"0,6188"</f>
        <v>0,6188</v>
      </c>
      <c r="E12" s="25" t="s">
        <v>362</v>
      </c>
      <c r="F12" s="25" t="s">
        <v>363</v>
      </c>
      <c r="G12" s="24" t="s">
        <v>85</v>
      </c>
      <c r="H12" s="34" t="s">
        <v>146</v>
      </c>
      <c r="I12" s="23" t="str">
        <f>"3150,0"</f>
        <v>3150,0</v>
      </c>
      <c r="J12" s="24" t="str">
        <f>"2109,2264"</f>
        <v>2109,2264</v>
      </c>
      <c r="K12" s="25" t="s">
        <v>364</v>
      </c>
    </row>
    <row r="14" spans="1:11" ht="15" x14ac:dyDescent="0.2">
      <c r="A14" s="42" t="s">
        <v>58</v>
      </c>
      <c r="B14" s="43"/>
      <c r="C14" s="43"/>
      <c r="D14" s="43"/>
      <c r="E14" s="43"/>
      <c r="F14" s="43"/>
      <c r="G14" s="43"/>
      <c r="H14" s="43"/>
      <c r="I14" s="43"/>
      <c r="J14" s="43"/>
    </row>
    <row r="15" spans="1:11" x14ac:dyDescent="0.2">
      <c r="A15" s="6" t="s">
        <v>720</v>
      </c>
      <c r="B15" s="7" t="s">
        <v>721</v>
      </c>
      <c r="C15" s="7" t="s">
        <v>722</v>
      </c>
      <c r="D15" s="7" t="str">
        <f>"0,5917"</f>
        <v>0,5917</v>
      </c>
      <c r="E15" s="8" t="s">
        <v>25</v>
      </c>
      <c r="F15" s="8" t="s">
        <v>26</v>
      </c>
      <c r="G15" s="7" t="s">
        <v>723</v>
      </c>
      <c r="H15" s="35" t="s">
        <v>724</v>
      </c>
      <c r="I15" s="6" t="str">
        <f>"3022,5"</f>
        <v>3022,5</v>
      </c>
      <c r="J15" s="7" t="str">
        <f>"1788,2622"</f>
        <v>1788,2622</v>
      </c>
      <c r="K15" s="8" t="s">
        <v>34</v>
      </c>
    </row>
    <row r="17" spans="1:5" ht="15" x14ac:dyDescent="0.2">
      <c r="E17" s="10" t="s">
        <v>760</v>
      </c>
    </row>
    <row r="18" spans="1:5" ht="15" x14ac:dyDescent="0.2">
      <c r="E18" s="10" t="s">
        <v>761</v>
      </c>
    </row>
    <row r="19" spans="1:5" ht="15" x14ac:dyDescent="0.2">
      <c r="E19" s="10" t="s">
        <v>762</v>
      </c>
    </row>
    <row r="20" spans="1:5" ht="15" x14ac:dyDescent="0.2">
      <c r="E20" s="10" t="s">
        <v>763</v>
      </c>
    </row>
    <row r="21" spans="1:5" ht="15" x14ac:dyDescent="0.2">
      <c r="E21" s="10" t="s">
        <v>765</v>
      </c>
    </row>
    <row r="22" spans="1:5" ht="15" x14ac:dyDescent="0.2">
      <c r="E22" s="10" t="s">
        <v>764</v>
      </c>
    </row>
    <row r="23" spans="1:5" ht="15" x14ac:dyDescent="0.2">
      <c r="E23" s="10"/>
    </row>
    <row r="25" spans="1:5" ht="18" x14ac:dyDescent="0.25">
      <c r="A25" s="11" t="s">
        <v>44</v>
      </c>
      <c r="B25" s="12"/>
    </row>
    <row r="26" spans="1:5" ht="15" x14ac:dyDescent="0.2">
      <c r="A26" s="13" t="s">
        <v>45</v>
      </c>
      <c r="B26" s="14"/>
    </row>
    <row r="27" spans="1:5" ht="14.25" x14ac:dyDescent="0.2">
      <c r="A27" s="16"/>
      <c r="B27" s="17" t="s">
        <v>46</v>
      </c>
    </row>
    <row r="28" spans="1:5" ht="15" x14ac:dyDescent="0.2">
      <c r="A28" s="18" t="s">
        <v>47</v>
      </c>
      <c r="B28" s="18" t="s">
        <v>48</v>
      </c>
      <c r="C28" s="18" t="s">
        <v>49</v>
      </c>
      <c r="D28" s="18" t="s">
        <v>50</v>
      </c>
      <c r="E28" s="18" t="s">
        <v>51</v>
      </c>
    </row>
    <row r="29" spans="1:5" x14ac:dyDescent="0.2">
      <c r="A29" s="15" t="s">
        <v>345</v>
      </c>
      <c r="B29" s="1" t="s">
        <v>46</v>
      </c>
      <c r="C29" s="1" t="s">
        <v>85</v>
      </c>
      <c r="D29" s="1" t="s">
        <v>725</v>
      </c>
      <c r="E29" s="4" t="s">
        <v>726</v>
      </c>
    </row>
    <row r="30" spans="1:5" x14ac:dyDescent="0.2">
      <c r="A30" s="15" t="s">
        <v>719</v>
      </c>
      <c r="B30" s="1" t="s">
        <v>46</v>
      </c>
      <c r="C30" s="1" t="s">
        <v>87</v>
      </c>
      <c r="D30" s="1" t="s">
        <v>727</v>
      </c>
      <c r="E30" s="4" t="s">
        <v>728</v>
      </c>
    </row>
    <row r="31" spans="1:5" x14ac:dyDescent="0.2">
      <c r="A31" s="15" t="s">
        <v>704</v>
      </c>
      <c r="B31" s="1" t="s">
        <v>46</v>
      </c>
      <c r="C31" s="1" t="s">
        <v>54</v>
      </c>
      <c r="D31" s="1" t="s">
        <v>729</v>
      </c>
      <c r="E31" s="4" t="s">
        <v>730</v>
      </c>
    </row>
    <row r="32" spans="1:5" x14ac:dyDescent="0.2">
      <c r="A32" s="15" t="s">
        <v>710</v>
      </c>
      <c r="B32" s="1" t="s">
        <v>46</v>
      </c>
      <c r="C32" s="1" t="s">
        <v>54</v>
      </c>
      <c r="D32" s="1" t="s">
        <v>731</v>
      </c>
      <c r="E32" s="4" t="s">
        <v>732</v>
      </c>
    </row>
    <row r="34" spans="1:5" ht="14.25" x14ac:dyDescent="0.2">
      <c r="A34" s="16"/>
      <c r="B34" s="17" t="s">
        <v>126</v>
      </c>
    </row>
    <row r="35" spans="1:5" ht="15" x14ac:dyDescent="0.2">
      <c r="A35" s="18" t="s">
        <v>47</v>
      </c>
      <c r="B35" s="18" t="s">
        <v>48</v>
      </c>
      <c r="C35" s="18" t="s">
        <v>49</v>
      </c>
      <c r="D35" s="18" t="s">
        <v>50</v>
      </c>
      <c r="E35" s="18" t="s">
        <v>51</v>
      </c>
    </row>
    <row r="36" spans="1:5" x14ac:dyDescent="0.2">
      <c r="A36" s="15" t="s">
        <v>358</v>
      </c>
      <c r="B36" s="1" t="s">
        <v>733</v>
      </c>
      <c r="C36" s="1" t="s">
        <v>85</v>
      </c>
      <c r="D36" s="1" t="s">
        <v>734</v>
      </c>
      <c r="E36" s="4" t="s">
        <v>735</v>
      </c>
    </row>
    <row r="37" spans="1:5" x14ac:dyDescent="0.2">
      <c r="A37" s="15" t="s">
        <v>715</v>
      </c>
      <c r="B37" s="1" t="s">
        <v>733</v>
      </c>
      <c r="C37" s="1" t="s">
        <v>54</v>
      </c>
      <c r="D37" s="1" t="s">
        <v>736</v>
      </c>
      <c r="E37" s="4" t="s">
        <v>737</v>
      </c>
    </row>
  </sheetData>
  <mergeCells count="14">
    <mergeCell ref="K3:K4"/>
    <mergeCell ref="A5:J5"/>
    <mergeCell ref="A10:J10"/>
    <mergeCell ref="A14:J14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51246-FC44-4482-8777-77DAC8EF1F02}">
  <dimension ref="A1:M122"/>
  <sheetViews>
    <sheetView topLeftCell="A51" workbookViewId="0">
      <selection activeCell="E58" sqref="E58:F63"/>
    </sheetView>
  </sheetViews>
  <sheetFormatPr defaultRowHeight="12.75" x14ac:dyDescent="0.2"/>
  <cols>
    <col min="1" max="1" width="28.28515625" style="4" bestFit="1" customWidth="1"/>
    <col min="2" max="2" width="29" style="1" bestFit="1" customWidth="1"/>
    <col min="3" max="3" width="10.5703125" style="1" bestFit="1" customWidth="1"/>
    <col min="4" max="4" width="8.42578125" style="1" bestFit="1" customWidth="1"/>
    <col min="5" max="5" width="22.7109375" style="5" bestFit="1" customWidth="1"/>
    <col min="6" max="6" width="43" style="5" bestFit="1" customWidth="1"/>
    <col min="7" max="9" width="5.5703125" style="1" bestFit="1" customWidth="1"/>
    <col min="10" max="10" width="3.28515625" style="1" bestFit="1" customWidth="1"/>
    <col min="11" max="11" width="11.28515625" style="4" bestFit="1" customWidth="1"/>
    <col min="12" max="12" width="8.5703125" style="1" bestFit="1" customWidth="1"/>
    <col min="13" max="13" width="15.5703125" style="5" bestFit="1" customWidth="1"/>
    <col min="14" max="16384" width="9.140625" style="1"/>
  </cols>
  <sheetData>
    <row r="1" spans="1:13" ht="29.1" customHeight="1" x14ac:dyDescent="0.2">
      <c r="A1" s="44" t="s">
        <v>536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2" customFormat="1" ht="12.75" customHeight="1" x14ac:dyDescent="0.2">
      <c r="A3" s="50" t="s">
        <v>0</v>
      </c>
      <c r="B3" s="52" t="s">
        <v>14</v>
      </c>
      <c r="C3" s="52" t="s">
        <v>15</v>
      </c>
      <c r="D3" s="54" t="s">
        <v>18</v>
      </c>
      <c r="E3" s="54" t="s">
        <v>3</v>
      </c>
      <c r="F3" s="54" t="s">
        <v>16</v>
      </c>
      <c r="G3" s="56"/>
      <c r="H3" s="56"/>
      <c r="I3" s="56"/>
      <c r="J3" s="57"/>
      <c r="K3" s="58" t="s">
        <v>13</v>
      </c>
      <c r="L3" s="54" t="s">
        <v>2</v>
      </c>
      <c r="M3" s="38" t="s">
        <v>1</v>
      </c>
    </row>
    <row r="4" spans="1:13" s="2" customFormat="1" ht="21" customHeight="1" thickBot="1" x14ac:dyDescent="0.25">
      <c r="A4" s="51"/>
      <c r="B4" s="53"/>
      <c r="C4" s="53"/>
      <c r="D4" s="53"/>
      <c r="E4" s="53"/>
      <c r="F4" s="53"/>
      <c r="G4" s="3" t="s">
        <v>9</v>
      </c>
      <c r="H4" s="3" t="s">
        <v>10</v>
      </c>
      <c r="I4" s="3" t="s">
        <v>11</v>
      </c>
      <c r="J4" s="3" t="s">
        <v>12</v>
      </c>
      <c r="K4" s="59"/>
      <c r="L4" s="53"/>
      <c r="M4" s="39"/>
    </row>
    <row r="5" spans="1:13" ht="15" x14ac:dyDescent="0.2">
      <c r="A5" s="40" t="s">
        <v>256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3" x14ac:dyDescent="0.2">
      <c r="A6" s="19" t="s">
        <v>538</v>
      </c>
      <c r="B6" s="20" t="s">
        <v>539</v>
      </c>
      <c r="C6" s="20" t="s">
        <v>260</v>
      </c>
      <c r="D6" s="20" t="str">
        <f>"1,1076"</f>
        <v>1,1076</v>
      </c>
      <c r="E6" s="21" t="s">
        <v>40</v>
      </c>
      <c r="F6" s="21" t="s">
        <v>141</v>
      </c>
      <c r="G6" s="20" t="s">
        <v>87</v>
      </c>
      <c r="H6" s="22" t="s">
        <v>286</v>
      </c>
      <c r="I6" s="22"/>
      <c r="J6" s="22"/>
      <c r="K6" s="19" t="str">
        <f>"100,0"</f>
        <v>100,0</v>
      </c>
      <c r="L6" s="20" t="str">
        <f>"110,7600"</f>
        <v>110,7600</v>
      </c>
      <c r="M6" s="21" t="s">
        <v>34</v>
      </c>
    </row>
    <row r="7" spans="1:13" x14ac:dyDescent="0.2">
      <c r="A7" s="23" t="s">
        <v>541</v>
      </c>
      <c r="B7" s="24" t="s">
        <v>542</v>
      </c>
      <c r="C7" s="24" t="s">
        <v>543</v>
      </c>
      <c r="D7" s="24" t="str">
        <f>"1,1195"</f>
        <v>1,1195</v>
      </c>
      <c r="E7" s="25" t="s">
        <v>40</v>
      </c>
      <c r="F7" s="25" t="s">
        <v>278</v>
      </c>
      <c r="G7" s="24" t="s">
        <v>148</v>
      </c>
      <c r="H7" s="24" t="s">
        <v>297</v>
      </c>
      <c r="I7" s="24" t="s">
        <v>195</v>
      </c>
      <c r="J7" s="26"/>
      <c r="K7" s="23" t="str">
        <f>"87,5"</f>
        <v>87,5</v>
      </c>
      <c r="L7" s="24" t="str">
        <f>"97,9563"</f>
        <v>97,9563</v>
      </c>
      <c r="M7" s="25" t="s">
        <v>544</v>
      </c>
    </row>
    <row r="9" spans="1:13" ht="15" x14ac:dyDescent="0.2">
      <c r="A9" s="42" t="s">
        <v>136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1:13" x14ac:dyDescent="0.2">
      <c r="A10" s="19" t="s">
        <v>546</v>
      </c>
      <c r="B10" s="20" t="s">
        <v>547</v>
      </c>
      <c r="C10" s="20" t="s">
        <v>548</v>
      </c>
      <c r="D10" s="20" t="str">
        <f>"1,0701"</f>
        <v>1,0701</v>
      </c>
      <c r="E10" s="21" t="s">
        <v>40</v>
      </c>
      <c r="F10" s="21" t="s">
        <v>278</v>
      </c>
      <c r="G10" s="20" t="s">
        <v>148</v>
      </c>
      <c r="H10" s="20" t="s">
        <v>54</v>
      </c>
      <c r="I10" s="22" t="s">
        <v>158</v>
      </c>
      <c r="J10" s="22"/>
      <c r="K10" s="19" t="str">
        <f>"75,0"</f>
        <v>75,0</v>
      </c>
      <c r="L10" s="20" t="str">
        <f>"80,2575"</f>
        <v>80,2575</v>
      </c>
      <c r="M10" s="21" t="s">
        <v>544</v>
      </c>
    </row>
    <row r="11" spans="1:13" x14ac:dyDescent="0.2">
      <c r="A11" s="27" t="s">
        <v>550</v>
      </c>
      <c r="B11" s="28" t="s">
        <v>551</v>
      </c>
      <c r="C11" s="28" t="s">
        <v>552</v>
      </c>
      <c r="D11" s="28" t="str">
        <f>"1,0591"</f>
        <v>1,0591</v>
      </c>
      <c r="E11" s="29" t="s">
        <v>40</v>
      </c>
      <c r="F11" s="29" t="s">
        <v>41</v>
      </c>
      <c r="G11" s="30" t="s">
        <v>553</v>
      </c>
      <c r="H11" s="28" t="s">
        <v>553</v>
      </c>
      <c r="I11" s="30" t="s">
        <v>87</v>
      </c>
      <c r="J11" s="30"/>
      <c r="K11" s="27" t="str">
        <f>"92,5"</f>
        <v>92,5</v>
      </c>
      <c r="L11" s="28" t="str">
        <f>"97,9668"</f>
        <v>97,9668</v>
      </c>
      <c r="M11" s="29" t="s">
        <v>34</v>
      </c>
    </row>
    <row r="12" spans="1:13" x14ac:dyDescent="0.2">
      <c r="A12" s="23" t="s">
        <v>555</v>
      </c>
      <c r="B12" s="24" t="s">
        <v>556</v>
      </c>
      <c r="C12" s="24" t="s">
        <v>557</v>
      </c>
      <c r="D12" s="24" t="str">
        <f>"1,0653"</f>
        <v>1,0653</v>
      </c>
      <c r="E12" s="25" t="s">
        <v>40</v>
      </c>
      <c r="F12" s="25" t="s">
        <v>278</v>
      </c>
      <c r="G12" s="24" t="s">
        <v>143</v>
      </c>
      <c r="H12" s="24" t="s">
        <v>148</v>
      </c>
      <c r="I12" s="26" t="s">
        <v>54</v>
      </c>
      <c r="J12" s="26"/>
      <c r="K12" s="23" t="str">
        <f>"72,5"</f>
        <v>72,5</v>
      </c>
      <c r="L12" s="24" t="str">
        <f>"77,2342"</f>
        <v>77,2342</v>
      </c>
      <c r="M12" s="25" t="s">
        <v>544</v>
      </c>
    </row>
    <row r="14" spans="1:13" ht="15" x14ac:dyDescent="0.2">
      <c r="A14" s="42" t="s">
        <v>268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13" x14ac:dyDescent="0.2">
      <c r="A15" s="6" t="s">
        <v>559</v>
      </c>
      <c r="B15" s="7" t="s">
        <v>560</v>
      </c>
      <c r="C15" s="7" t="s">
        <v>561</v>
      </c>
      <c r="D15" s="7" t="str">
        <f>"0,9984"</f>
        <v>0,9984</v>
      </c>
      <c r="E15" s="8" t="s">
        <v>40</v>
      </c>
      <c r="F15" s="8" t="s">
        <v>278</v>
      </c>
      <c r="G15" s="7" t="s">
        <v>148</v>
      </c>
      <c r="H15" s="7" t="s">
        <v>562</v>
      </c>
      <c r="I15" s="7" t="s">
        <v>297</v>
      </c>
      <c r="J15" s="9"/>
      <c r="K15" s="6" t="str">
        <f>"80,0"</f>
        <v>80,0</v>
      </c>
      <c r="L15" s="7" t="str">
        <f>"79,8680"</f>
        <v>79,8680</v>
      </c>
      <c r="M15" s="8" t="s">
        <v>544</v>
      </c>
    </row>
    <row r="17" spans="1:13" ht="15" x14ac:dyDescent="0.2">
      <c r="A17" s="42" t="s">
        <v>280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3" x14ac:dyDescent="0.2">
      <c r="A18" s="19" t="s">
        <v>564</v>
      </c>
      <c r="B18" s="20" t="s">
        <v>565</v>
      </c>
      <c r="C18" s="20" t="s">
        <v>566</v>
      </c>
      <c r="D18" s="20" t="str">
        <f>"0,9200"</f>
        <v>0,9200</v>
      </c>
      <c r="E18" s="21" t="s">
        <v>40</v>
      </c>
      <c r="F18" s="21" t="s">
        <v>567</v>
      </c>
      <c r="G18" s="20" t="s">
        <v>158</v>
      </c>
      <c r="H18" s="22" t="s">
        <v>85</v>
      </c>
      <c r="I18" s="22" t="s">
        <v>85</v>
      </c>
      <c r="J18" s="22"/>
      <c r="K18" s="19" t="str">
        <f>"85,0"</f>
        <v>85,0</v>
      </c>
      <c r="L18" s="20" t="str">
        <f>"78,1958"</f>
        <v>78,1958</v>
      </c>
      <c r="M18" s="21" t="s">
        <v>34</v>
      </c>
    </row>
    <row r="19" spans="1:13" x14ac:dyDescent="0.2">
      <c r="A19" s="27" t="s">
        <v>569</v>
      </c>
      <c r="B19" s="28" t="s">
        <v>570</v>
      </c>
      <c r="C19" s="28" t="s">
        <v>571</v>
      </c>
      <c r="D19" s="28" t="str">
        <f>"0,9277"</f>
        <v>0,9277</v>
      </c>
      <c r="E19" s="29" t="s">
        <v>40</v>
      </c>
      <c r="F19" s="29" t="s">
        <v>278</v>
      </c>
      <c r="G19" s="28" t="s">
        <v>54</v>
      </c>
      <c r="H19" s="28" t="s">
        <v>194</v>
      </c>
      <c r="I19" s="30" t="s">
        <v>86</v>
      </c>
      <c r="J19" s="30"/>
      <c r="K19" s="27" t="str">
        <f>"82,5"</f>
        <v>82,5</v>
      </c>
      <c r="L19" s="28" t="str">
        <f>"76,5394"</f>
        <v>76,5394</v>
      </c>
      <c r="M19" s="29" t="s">
        <v>544</v>
      </c>
    </row>
    <row r="20" spans="1:13" x14ac:dyDescent="0.2">
      <c r="A20" s="23" t="s">
        <v>573</v>
      </c>
      <c r="B20" s="24" t="s">
        <v>574</v>
      </c>
      <c r="C20" s="24" t="s">
        <v>575</v>
      </c>
      <c r="D20" s="24" t="str">
        <f>"0,9266"</f>
        <v>0,9266</v>
      </c>
      <c r="E20" s="25" t="s">
        <v>40</v>
      </c>
      <c r="F20" s="25" t="s">
        <v>41</v>
      </c>
      <c r="G20" s="26" t="s">
        <v>86</v>
      </c>
      <c r="H20" s="24" t="s">
        <v>87</v>
      </c>
      <c r="I20" s="24" t="s">
        <v>29</v>
      </c>
      <c r="J20" s="26"/>
      <c r="K20" s="23" t="str">
        <f>"105,0"</f>
        <v>105,0</v>
      </c>
      <c r="L20" s="24" t="str">
        <f>"97,2982"</f>
        <v>97,2982</v>
      </c>
      <c r="M20" s="25" t="s">
        <v>34</v>
      </c>
    </row>
    <row r="22" spans="1:13" ht="15" x14ac:dyDescent="0.2">
      <c r="A22" s="42" t="s">
        <v>280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</row>
    <row r="23" spans="1:13" x14ac:dyDescent="0.2">
      <c r="A23" s="19" t="s">
        <v>577</v>
      </c>
      <c r="B23" s="20" t="s">
        <v>578</v>
      </c>
      <c r="C23" s="20" t="s">
        <v>579</v>
      </c>
      <c r="D23" s="20" t="str">
        <f>"0,7702"</f>
        <v>0,7702</v>
      </c>
      <c r="E23" s="21" t="s">
        <v>40</v>
      </c>
      <c r="F23" s="21" t="s">
        <v>567</v>
      </c>
      <c r="G23" s="20" t="s">
        <v>242</v>
      </c>
      <c r="H23" s="20" t="s">
        <v>33</v>
      </c>
      <c r="I23" s="22" t="s">
        <v>435</v>
      </c>
      <c r="J23" s="22"/>
      <c r="K23" s="19" t="str">
        <f>"170,0"</f>
        <v>170,0</v>
      </c>
      <c r="L23" s="20" t="str">
        <f>"130,9255"</f>
        <v>130,9255</v>
      </c>
      <c r="M23" s="21" t="s">
        <v>34</v>
      </c>
    </row>
    <row r="24" spans="1:13" x14ac:dyDescent="0.2">
      <c r="A24" s="23" t="s">
        <v>581</v>
      </c>
      <c r="B24" s="24" t="s">
        <v>582</v>
      </c>
      <c r="C24" s="24" t="s">
        <v>583</v>
      </c>
      <c r="D24" s="24" t="str">
        <f>"0,7600"</f>
        <v>0,7600</v>
      </c>
      <c r="E24" s="25" t="s">
        <v>40</v>
      </c>
      <c r="F24" s="25" t="s">
        <v>584</v>
      </c>
      <c r="G24" s="24" t="s">
        <v>73</v>
      </c>
      <c r="H24" s="24" t="s">
        <v>585</v>
      </c>
      <c r="I24" s="26"/>
      <c r="J24" s="26"/>
      <c r="K24" s="23" t="str">
        <f>"217,5"</f>
        <v>217,5</v>
      </c>
      <c r="L24" s="24" t="str">
        <f>"165,3000"</f>
        <v>165,3000</v>
      </c>
      <c r="M24" s="25" t="s">
        <v>34</v>
      </c>
    </row>
    <row r="26" spans="1:13" ht="15" x14ac:dyDescent="0.2">
      <c r="A26" s="42" t="s">
        <v>20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spans="1:13" x14ac:dyDescent="0.2">
      <c r="A27" s="19" t="s">
        <v>587</v>
      </c>
      <c r="B27" s="20" t="s">
        <v>588</v>
      </c>
      <c r="C27" s="20" t="s">
        <v>589</v>
      </c>
      <c r="D27" s="20" t="str">
        <f>"0,7056"</f>
        <v>0,7056</v>
      </c>
      <c r="E27" s="21" t="s">
        <v>40</v>
      </c>
      <c r="F27" s="21" t="s">
        <v>306</v>
      </c>
      <c r="G27" s="20" t="s">
        <v>102</v>
      </c>
      <c r="H27" s="20" t="s">
        <v>590</v>
      </c>
      <c r="I27" s="22"/>
      <c r="J27" s="22"/>
      <c r="K27" s="19" t="str">
        <f>"202,5"</f>
        <v>202,5</v>
      </c>
      <c r="L27" s="20" t="str">
        <f>"142,8941"</f>
        <v>142,8941</v>
      </c>
      <c r="M27" s="21" t="s">
        <v>34</v>
      </c>
    </row>
    <row r="28" spans="1:13" x14ac:dyDescent="0.2">
      <c r="A28" s="27" t="s">
        <v>592</v>
      </c>
      <c r="B28" s="28" t="s">
        <v>593</v>
      </c>
      <c r="C28" s="28" t="s">
        <v>594</v>
      </c>
      <c r="D28" s="28" t="str">
        <f>"0,7034"</f>
        <v>0,7034</v>
      </c>
      <c r="E28" s="29" t="s">
        <v>40</v>
      </c>
      <c r="F28" s="29" t="s">
        <v>567</v>
      </c>
      <c r="G28" s="30" t="s">
        <v>167</v>
      </c>
      <c r="H28" s="28" t="s">
        <v>167</v>
      </c>
      <c r="I28" s="28" t="s">
        <v>102</v>
      </c>
      <c r="J28" s="30"/>
      <c r="K28" s="27" t="str">
        <f>"180,0"</f>
        <v>180,0</v>
      </c>
      <c r="L28" s="28" t="str">
        <f>"126,6120"</f>
        <v>126,6120</v>
      </c>
      <c r="M28" s="29" t="s">
        <v>34</v>
      </c>
    </row>
    <row r="29" spans="1:13" x14ac:dyDescent="0.2">
      <c r="A29" s="27" t="s">
        <v>596</v>
      </c>
      <c r="B29" s="28" t="s">
        <v>597</v>
      </c>
      <c r="C29" s="28" t="s">
        <v>598</v>
      </c>
      <c r="D29" s="28" t="str">
        <f>"0,7086"</f>
        <v>0,7086</v>
      </c>
      <c r="E29" s="29" t="s">
        <v>40</v>
      </c>
      <c r="F29" s="29" t="s">
        <v>41</v>
      </c>
      <c r="G29" s="28" t="s">
        <v>590</v>
      </c>
      <c r="H29" s="28" t="s">
        <v>73</v>
      </c>
      <c r="I29" s="30" t="s">
        <v>208</v>
      </c>
      <c r="J29" s="30"/>
      <c r="K29" s="27" t="str">
        <f>"210,0"</f>
        <v>210,0</v>
      </c>
      <c r="L29" s="28" t="str">
        <f>"148,8165"</f>
        <v>148,8165</v>
      </c>
      <c r="M29" s="29" t="s">
        <v>34</v>
      </c>
    </row>
    <row r="30" spans="1:13" x14ac:dyDescent="0.2">
      <c r="A30" s="27" t="s">
        <v>600</v>
      </c>
      <c r="B30" s="28" t="s">
        <v>601</v>
      </c>
      <c r="C30" s="28" t="s">
        <v>589</v>
      </c>
      <c r="D30" s="28" t="str">
        <f>"0,7056"</f>
        <v>0,7056</v>
      </c>
      <c r="E30" s="29" t="s">
        <v>40</v>
      </c>
      <c r="F30" s="29" t="s">
        <v>393</v>
      </c>
      <c r="G30" s="28" t="s">
        <v>120</v>
      </c>
      <c r="H30" s="28" t="s">
        <v>590</v>
      </c>
      <c r="I30" s="28" t="s">
        <v>73</v>
      </c>
      <c r="J30" s="30"/>
      <c r="K30" s="27" t="str">
        <f>"210,0"</f>
        <v>210,0</v>
      </c>
      <c r="L30" s="28" t="str">
        <f>"148,1865"</f>
        <v>148,1865</v>
      </c>
      <c r="M30" s="29" t="s">
        <v>34</v>
      </c>
    </row>
    <row r="31" spans="1:13" x14ac:dyDescent="0.2">
      <c r="A31" s="27" t="s">
        <v>603</v>
      </c>
      <c r="B31" s="28" t="s">
        <v>604</v>
      </c>
      <c r="C31" s="28" t="s">
        <v>605</v>
      </c>
      <c r="D31" s="28" t="str">
        <f>"0,7049"</f>
        <v>0,7049</v>
      </c>
      <c r="E31" s="29" t="s">
        <v>40</v>
      </c>
      <c r="F31" s="29" t="s">
        <v>567</v>
      </c>
      <c r="G31" s="28" t="s">
        <v>167</v>
      </c>
      <c r="H31" s="30" t="s">
        <v>488</v>
      </c>
      <c r="I31" s="28" t="s">
        <v>488</v>
      </c>
      <c r="J31" s="30"/>
      <c r="K31" s="27" t="str">
        <f>"182,5"</f>
        <v>182,5</v>
      </c>
      <c r="L31" s="28" t="str">
        <f>"128,6351"</f>
        <v>128,6351</v>
      </c>
      <c r="M31" s="29" t="s">
        <v>34</v>
      </c>
    </row>
    <row r="32" spans="1:13" x14ac:dyDescent="0.2">
      <c r="A32" s="23" t="s">
        <v>606</v>
      </c>
      <c r="B32" s="24" t="s">
        <v>607</v>
      </c>
      <c r="C32" s="24" t="s">
        <v>608</v>
      </c>
      <c r="D32" s="24" t="str">
        <f>"0,7079"</f>
        <v>0,7079</v>
      </c>
      <c r="E32" s="25" t="s">
        <v>40</v>
      </c>
      <c r="F32" s="25" t="s">
        <v>609</v>
      </c>
      <c r="G32" s="26" t="s">
        <v>115</v>
      </c>
      <c r="H32" s="26" t="s">
        <v>93</v>
      </c>
      <c r="I32" s="26"/>
      <c r="J32" s="26"/>
      <c r="K32" s="23" t="str">
        <f>"0.00"</f>
        <v>0.00</v>
      </c>
      <c r="L32" s="24" t="str">
        <f>"0,0000"</f>
        <v>0,0000</v>
      </c>
      <c r="M32" s="25" t="s">
        <v>34</v>
      </c>
    </row>
    <row r="34" spans="1:13" ht="15" x14ac:dyDescent="0.2">
      <c r="A34" s="42" t="s">
        <v>161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3" x14ac:dyDescent="0.2">
      <c r="A35" s="19" t="s">
        <v>611</v>
      </c>
      <c r="B35" s="20" t="s">
        <v>612</v>
      </c>
      <c r="C35" s="20" t="s">
        <v>613</v>
      </c>
      <c r="D35" s="20" t="str">
        <f>"0,6595"</f>
        <v>0,6595</v>
      </c>
      <c r="E35" s="21" t="s">
        <v>40</v>
      </c>
      <c r="F35" s="21" t="s">
        <v>567</v>
      </c>
      <c r="G35" s="20" t="s">
        <v>103</v>
      </c>
      <c r="H35" s="20" t="s">
        <v>530</v>
      </c>
      <c r="I35" s="20" t="s">
        <v>614</v>
      </c>
      <c r="J35" s="22"/>
      <c r="K35" s="19" t="str">
        <f>"195,0"</f>
        <v>195,0</v>
      </c>
      <c r="L35" s="20" t="str">
        <f>"128,6025"</f>
        <v>128,6025</v>
      </c>
      <c r="M35" s="21" t="s">
        <v>34</v>
      </c>
    </row>
    <row r="36" spans="1:13" x14ac:dyDescent="0.2">
      <c r="A36" s="27" t="s">
        <v>616</v>
      </c>
      <c r="B36" s="28" t="s">
        <v>617</v>
      </c>
      <c r="C36" s="28" t="s">
        <v>618</v>
      </c>
      <c r="D36" s="28" t="str">
        <f>"0,6646"</f>
        <v>0,6646</v>
      </c>
      <c r="E36" s="29" t="s">
        <v>40</v>
      </c>
      <c r="F36" s="29" t="s">
        <v>619</v>
      </c>
      <c r="G36" s="28" t="s">
        <v>103</v>
      </c>
      <c r="H36" s="28" t="s">
        <v>120</v>
      </c>
      <c r="I36" s="30" t="s">
        <v>206</v>
      </c>
      <c r="J36" s="30"/>
      <c r="K36" s="27" t="str">
        <f>"190,0"</f>
        <v>190,0</v>
      </c>
      <c r="L36" s="28" t="str">
        <f>"126,2740"</f>
        <v>126,2740</v>
      </c>
      <c r="M36" s="29" t="s">
        <v>34</v>
      </c>
    </row>
    <row r="37" spans="1:13" x14ac:dyDescent="0.2">
      <c r="A37" s="27" t="s">
        <v>621</v>
      </c>
      <c r="B37" s="28" t="s">
        <v>622</v>
      </c>
      <c r="C37" s="28" t="s">
        <v>623</v>
      </c>
      <c r="D37" s="28" t="str">
        <f>"0,6477"</f>
        <v>0,6477</v>
      </c>
      <c r="E37" s="29" t="s">
        <v>40</v>
      </c>
      <c r="F37" s="29" t="s">
        <v>278</v>
      </c>
      <c r="G37" s="28" t="s">
        <v>27</v>
      </c>
      <c r="H37" s="28" t="s">
        <v>28</v>
      </c>
      <c r="I37" s="30" t="s">
        <v>94</v>
      </c>
      <c r="J37" s="30"/>
      <c r="K37" s="27" t="str">
        <f>"150,0"</f>
        <v>150,0</v>
      </c>
      <c r="L37" s="28" t="str">
        <f>"97,1475"</f>
        <v>97,1475</v>
      </c>
      <c r="M37" s="29" t="s">
        <v>544</v>
      </c>
    </row>
    <row r="38" spans="1:13" x14ac:dyDescent="0.2">
      <c r="A38" s="27" t="s">
        <v>625</v>
      </c>
      <c r="B38" s="28" t="s">
        <v>626</v>
      </c>
      <c r="C38" s="28" t="s">
        <v>627</v>
      </c>
      <c r="D38" s="28" t="str">
        <f>"0,6461"</f>
        <v>0,6461</v>
      </c>
      <c r="E38" s="29" t="s">
        <v>40</v>
      </c>
      <c r="F38" s="29" t="s">
        <v>278</v>
      </c>
      <c r="G38" s="28" t="s">
        <v>33</v>
      </c>
      <c r="H38" s="28" t="s">
        <v>103</v>
      </c>
      <c r="I38" s="28" t="s">
        <v>614</v>
      </c>
      <c r="J38" s="30"/>
      <c r="K38" s="27" t="str">
        <f>"195,0"</f>
        <v>195,0</v>
      </c>
      <c r="L38" s="28" t="str">
        <f>"127,2592"</f>
        <v>127,2592</v>
      </c>
      <c r="M38" s="29" t="s">
        <v>628</v>
      </c>
    </row>
    <row r="39" spans="1:13" x14ac:dyDescent="0.2">
      <c r="A39" s="23" t="s">
        <v>630</v>
      </c>
      <c r="B39" s="24" t="s">
        <v>631</v>
      </c>
      <c r="C39" s="24" t="s">
        <v>632</v>
      </c>
      <c r="D39" s="24" t="str">
        <f>"0,6535"</f>
        <v>0,6535</v>
      </c>
      <c r="E39" s="25" t="s">
        <v>40</v>
      </c>
      <c r="F39" s="25" t="s">
        <v>278</v>
      </c>
      <c r="G39" s="24" t="s">
        <v>27</v>
      </c>
      <c r="H39" s="24" t="s">
        <v>28</v>
      </c>
      <c r="I39" s="26" t="s">
        <v>94</v>
      </c>
      <c r="J39" s="26"/>
      <c r="K39" s="23" t="str">
        <f>"150,0"</f>
        <v>150,0</v>
      </c>
      <c r="L39" s="24" t="str">
        <f>"102,2323"</f>
        <v>102,2323</v>
      </c>
      <c r="M39" s="25" t="s">
        <v>544</v>
      </c>
    </row>
    <row r="41" spans="1:13" ht="15" x14ac:dyDescent="0.2">
      <c r="A41" s="42" t="s">
        <v>95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1:13" x14ac:dyDescent="0.2">
      <c r="A42" s="19" t="s">
        <v>634</v>
      </c>
      <c r="B42" s="20" t="s">
        <v>635</v>
      </c>
      <c r="C42" s="20" t="s">
        <v>636</v>
      </c>
      <c r="D42" s="20" t="str">
        <f>"0,6145"</f>
        <v>0,6145</v>
      </c>
      <c r="E42" s="21" t="s">
        <v>40</v>
      </c>
      <c r="F42" s="21" t="s">
        <v>637</v>
      </c>
      <c r="G42" s="20" t="s">
        <v>182</v>
      </c>
      <c r="H42" s="20" t="s">
        <v>504</v>
      </c>
      <c r="I42" s="22" t="s">
        <v>638</v>
      </c>
      <c r="J42" s="22"/>
      <c r="K42" s="19" t="str">
        <f>"250,0"</f>
        <v>250,0</v>
      </c>
      <c r="L42" s="20" t="str">
        <f>"153,6375"</f>
        <v>153,6375</v>
      </c>
      <c r="M42" s="21" t="s">
        <v>34</v>
      </c>
    </row>
    <row r="43" spans="1:13" x14ac:dyDescent="0.2">
      <c r="A43" s="27" t="s">
        <v>640</v>
      </c>
      <c r="B43" s="28" t="s">
        <v>641</v>
      </c>
      <c r="C43" s="28" t="s">
        <v>642</v>
      </c>
      <c r="D43" s="28" t="str">
        <f>"0,6201"</f>
        <v>0,6201</v>
      </c>
      <c r="E43" s="29" t="s">
        <v>40</v>
      </c>
      <c r="F43" s="29" t="s">
        <v>643</v>
      </c>
      <c r="G43" s="28" t="s">
        <v>63</v>
      </c>
      <c r="H43" s="30" t="s">
        <v>644</v>
      </c>
      <c r="I43" s="30" t="s">
        <v>644</v>
      </c>
      <c r="J43" s="30"/>
      <c r="K43" s="27" t="str">
        <f>"240,0"</f>
        <v>240,0</v>
      </c>
      <c r="L43" s="28" t="str">
        <f>"148,8240"</f>
        <v>148,8240</v>
      </c>
      <c r="M43" s="29" t="s">
        <v>34</v>
      </c>
    </row>
    <row r="44" spans="1:13" x14ac:dyDescent="0.2">
      <c r="A44" s="23" t="s">
        <v>646</v>
      </c>
      <c r="B44" s="24" t="s">
        <v>647</v>
      </c>
      <c r="C44" s="24" t="s">
        <v>636</v>
      </c>
      <c r="D44" s="24" t="str">
        <f>"0,6145"</f>
        <v>0,6145</v>
      </c>
      <c r="E44" s="25" t="s">
        <v>40</v>
      </c>
      <c r="F44" s="25" t="s">
        <v>648</v>
      </c>
      <c r="G44" s="24" t="s">
        <v>73</v>
      </c>
      <c r="H44" s="24" t="s">
        <v>207</v>
      </c>
      <c r="I44" s="24" t="s">
        <v>182</v>
      </c>
      <c r="J44" s="26"/>
      <c r="K44" s="23" t="str">
        <f>"230,0"</f>
        <v>230,0</v>
      </c>
      <c r="L44" s="24" t="str">
        <f>"141,3465"</f>
        <v>141,3465</v>
      </c>
      <c r="M44" s="25" t="s">
        <v>34</v>
      </c>
    </row>
    <row r="46" spans="1:13" ht="15" x14ac:dyDescent="0.2">
      <c r="A46" s="42" t="s">
        <v>58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</row>
    <row r="47" spans="1:13" x14ac:dyDescent="0.2">
      <c r="A47" s="19" t="s">
        <v>650</v>
      </c>
      <c r="B47" s="20" t="s">
        <v>651</v>
      </c>
      <c r="C47" s="20" t="s">
        <v>652</v>
      </c>
      <c r="D47" s="20" t="str">
        <f>"0,5925"</f>
        <v>0,5925</v>
      </c>
      <c r="E47" s="21" t="s">
        <v>40</v>
      </c>
      <c r="F47" s="21" t="s">
        <v>653</v>
      </c>
      <c r="G47" s="20" t="s">
        <v>27</v>
      </c>
      <c r="H47" s="20" t="s">
        <v>94</v>
      </c>
      <c r="I47" s="22" t="s">
        <v>167</v>
      </c>
      <c r="J47" s="22"/>
      <c r="K47" s="19" t="str">
        <f>"162,5"</f>
        <v>162,5</v>
      </c>
      <c r="L47" s="20" t="str">
        <f>"96,2894"</f>
        <v>96,2894</v>
      </c>
      <c r="M47" s="21" t="s">
        <v>34</v>
      </c>
    </row>
    <row r="48" spans="1:13" x14ac:dyDescent="0.2">
      <c r="A48" s="23" t="s">
        <v>375</v>
      </c>
      <c r="B48" s="24" t="s">
        <v>376</v>
      </c>
      <c r="C48" s="24" t="s">
        <v>377</v>
      </c>
      <c r="D48" s="24" t="str">
        <f>"0,5856"</f>
        <v>0,5856</v>
      </c>
      <c r="E48" s="25" t="s">
        <v>40</v>
      </c>
      <c r="F48" s="25" t="s">
        <v>378</v>
      </c>
      <c r="G48" s="24" t="s">
        <v>42</v>
      </c>
      <c r="H48" s="24" t="s">
        <v>73</v>
      </c>
      <c r="I48" s="26" t="s">
        <v>206</v>
      </c>
      <c r="J48" s="26"/>
      <c r="K48" s="23" t="str">
        <f>"210,0"</f>
        <v>210,0</v>
      </c>
      <c r="L48" s="24" t="str">
        <f>"125,4355"</f>
        <v>125,4355</v>
      </c>
      <c r="M48" s="25" t="s">
        <v>34</v>
      </c>
    </row>
    <row r="50" spans="1:13" ht="15" x14ac:dyDescent="0.2">
      <c r="A50" s="42" t="s">
        <v>35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3" x14ac:dyDescent="0.2">
      <c r="A51" s="19" t="s">
        <v>655</v>
      </c>
      <c r="B51" s="20" t="s">
        <v>656</v>
      </c>
      <c r="C51" s="20" t="s">
        <v>657</v>
      </c>
      <c r="D51" s="20" t="str">
        <f>"0,5638"</f>
        <v>0,5638</v>
      </c>
      <c r="E51" s="21" t="s">
        <v>40</v>
      </c>
      <c r="F51" s="21" t="s">
        <v>306</v>
      </c>
      <c r="G51" s="20" t="s">
        <v>42</v>
      </c>
      <c r="H51" s="20" t="s">
        <v>658</v>
      </c>
      <c r="I51" s="20" t="s">
        <v>206</v>
      </c>
      <c r="J51" s="22"/>
      <c r="K51" s="19" t="str">
        <f>"215,0"</f>
        <v>215,0</v>
      </c>
      <c r="L51" s="20" t="str">
        <f>"121,2170"</f>
        <v>121,2170</v>
      </c>
      <c r="M51" s="21" t="s">
        <v>34</v>
      </c>
    </row>
    <row r="52" spans="1:13" x14ac:dyDescent="0.2">
      <c r="A52" s="23" t="s">
        <v>660</v>
      </c>
      <c r="B52" s="24" t="s">
        <v>661</v>
      </c>
      <c r="C52" s="24" t="s">
        <v>662</v>
      </c>
      <c r="D52" s="24" t="str">
        <f>"0,5701"</f>
        <v>0,5701</v>
      </c>
      <c r="E52" s="25" t="s">
        <v>40</v>
      </c>
      <c r="F52" s="25" t="s">
        <v>663</v>
      </c>
      <c r="G52" s="24" t="s">
        <v>73</v>
      </c>
      <c r="H52" s="26" t="s">
        <v>43</v>
      </c>
      <c r="I52" s="26" t="s">
        <v>43</v>
      </c>
      <c r="J52" s="26"/>
      <c r="K52" s="23" t="str">
        <f>"210,0"</f>
        <v>210,0</v>
      </c>
      <c r="L52" s="24" t="str">
        <f>"119,7210"</f>
        <v>119,7210</v>
      </c>
      <c r="M52" s="25" t="s">
        <v>34</v>
      </c>
    </row>
    <row r="54" spans="1:13" ht="15" x14ac:dyDescent="0.2">
      <c r="A54" s="42" t="s">
        <v>65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3" x14ac:dyDescent="0.2">
      <c r="A55" s="19" t="s">
        <v>665</v>
      </c>
      <c r="B55" s="20" t="s">
        <v>666</v>
      </c>
      <c r="C55" s="20" t="s">
        <v>667</v>
      </c>
      <c r="D55" s="20" t="str">
        <f>"0,5492"</f>
        <v>0,5492</v>
      </c>
      <c r="E55" s="21" t="s">
        <v>40</v>
      </c>
      <c r="F55" s="21" t="s">
        <v>648</v>
      </c>
      <c r="G55" s="20" t="s">
        <v>120</v>
      </c>
      <c r="H55" s="20" t="s">
        <v>206</v>
      </c>
      <c r="I55" s="22"/>
      <c r="J55" s="22"/>
      <c r="K55" s="19" t="str">
        <f>"215,0"</f>
        <v>215,0</v>
      </c>
      <c r="L55" s="20" t="str">
        <f>"118,0780"</f>
        <v>118,0780</v>
      </c>
      <c r="M55" s="21" t="s">
        <v>34</v>
      </c>
    </row>
    <row r="56" spans="1:13" x14ac:dyDescent="0.2">
      <c r="A56" s="23" t="s">
        <v>669</v>
      </c>
      <c r="B56" s="24" t="s">
        <v>670</v>
      </c>
      <c r="C56" s="24" t="s">
        <v>124</v>
      </c>
      <c r="D56" s="24" t="str">
        <f>"0,5552"</f>
        <v>0,5552</v>
      </c>
      <c r="E56" s="25" t="s">
        <v>40</v>
      </c>
      <c r="F56" s="25" t="s">
        <v>663</v>
      </c>
      <c r="G56" s="24" t="s">
        <v>206</v>
      </c>
      <c r="H56" s="24" t="s">
        <v>671</v>
      </c>
      <c r="I56" s="24" t="s">
        <v>208</v>
      </c>
      <c r="J56" s="26"/>
      <c r="K56" s="23" t="str">
        <f>"232,5"</f>
        <v>232,5</v>
      </c>
      <c r="L56" s="24" t="str">
        <f>"129,0956"</f>
        <v>129,0956</v>
      </c>
      <c r="M56" s="25" t="s">
        <v>34</v>
      </c>
    </row>
    <row r="58" spans="1:13" ht="15" x14ac:dyDescent="0.2">
      <c r="E58" s="10" t="s">
        <v>760</v>
      </c>
    </row>
    <row r="59" spans="1:13" ht="15" x14ac:dyDescent="0.2">
      <c r="E59" s="10" t="s">
        <v>761</v>
      </c>
    </row>
    <row r="60" spans="1:13" ht="15" x14ac:dyDescent="0.2">
      <c r="E60" s="10" t="s">
        <v>762</v>
      </c>
    </row>
    <row r="61" spans="1:13" ht="15" x14ac:dyDescent="0.2">
      <c r="E61" s="10" t="s">
        <v>763</v>
      </c>
    </row>
    <row r="62" spans="1:13" ht="15" x14ac:dyDescent="0.2">
      <c r="E62" s="10" t="s">
        <v>765</v>
      </c>
    </row>
    <row r="63" spans="1:13" ht="15" x14ac:dyDescent="0.2">
      <c r="E63" s="10" t="s">
        <v>764</v>
      </c>
    </row>
    <row r="64" spans="1:13" ht="15" x14ac:dyDescent="0.2">
      <c r="E64" s="10"/>
    </row>
    <row r="66" spans="1:5" ht="18" x14ac:dyDescent="0.25">
      <c r="A66" s="11" t="s">
        <v>44</v>
      </c>
      <c r="B66" s="12"/>
    </row>
    <row r="67" spans="1:5" ht="15" x14ac:dyDescent="0.2">
      <c r="A67" s="13" t="s">
        <v>125</v>
      </c>
      <c r="B67" s="14"/>
    </row>
    <row r="68" spans="1:5" ht="14.25" x14ac:dyDescent="0.2">
      <c r="A68" s="16"/>
      <c r="B68" s="17" t="s">
        <v>440</v>
      </c>
    </row>
    <row r="69" spans="1:5" ht="15" x14ac:dyDescent="0.2">
      <c r="A69" s="18" t="s">
        <v>47</v>
      </c>
      <c r="B69" s="18" t="s">
        <v>48</v>
      </c>
      <c r="C69" s="18" t="s">
        <v>49</v>
      </c>
      <c r="D69" s="18" t="s">
        <v>50</v>
      </c>
      <c r="E69" s="18" t="s">
        <v>51</v>
      </c>
    </row>
    <row r="70" spans="1:5" x14ac:dyDescent="0.2">
      <c r="A70" s="15" t="s">
        <v>563</v>
      </c>
      <c r="B70" s="1" t="s">
        <v>441</v>
      </c>
      <c r="C70" s="1" t="s">
        <v>273</v>
      </c>
      <c r="D70" s="1" t="s">
        <v>158</v>
      </c>
      <c r="E70" s="4" t="s">
        <v>672</v>
      </c>
    </row>
    <row r="72" spans="1:5" ht="14.25" x14ac:dyDescent="0.2">
      <c r="A72" s="16"/>
      <c r="B72" s="17" t="s">
        <v>673</v>
      </c>
    </row>
    <row r="73" spans="1:5" ht="15" x14ac:dyDescent="0.2">
      <c r="A73" s="18" t="s">
        <v>47</v>
      </c>
      <c r="B73" s="18" t="s">
        <v>48</v>
      </c>
      <c r="C73" s="18" t="s">
        <v>49</v>
      </c>
      <c r="D73" s="18" t="s">
        <v>50</v>
      </c>
      <c r="E73" s="18" t="s">
        <v>51</v>
      </c>
    </row>
    <row r="74" spans="1:5" x14ac:dyDescent="0.2">
      <c r="A74" s="15" t="s">
        <v>537</v>
      </c>
      <c r="B74" s="1" t="s">
        <v>213</v>
      </c>
      <c r="C74" s="1" t="s">
        <v>445</v>
      </c>
      <c r="D74" s="1" t="s">
        <v>87</v>
      </c>
      <c r="E74" s="4" t="s">
        <v>674</v>
      </c>
    </row>
    <row r="75" spans="1:5" x14ac:dyDescent="0.2">
      <c r="A75" s="15" t="s">
        <v>545</v>
      </c>
      <c r="B75" s="1" t="s">
        <v>213</v>
      </c>
      <c r="C75" s="1" t="s">
        <v>210</v>
      </c>
      <c r="D75" s="1" t="s">
        <v>54</v>
      </c>
      <c r="E75" s="4" t="s">
        <v>675</v>
      </c>
    </row>
    <row r="77" spans="1:5" ht="14.25" x14ac:dyDescent="0.2">
      <c r="A77" s="16"/>
      <c r="B77" s="17" t="s">
        <v>46</v>
      </c>
    </row>
    <row r="78" spans="1:5" ht="15" x14ac:dyDescent="0.2">
      <c r="A78" s="18" t="s">
        <v>47</v>
      </c>
      <c r="B78" s="18" t="s">
        <v>48</v>
      </c>
      <c r="C78" s="18" t="s">
        <v>49</v>
      </c>
      <c r="D78" s="18" t="s">
        <v>50</v>
      </c>
      <c r="E78" s="18" t="s">
        <v>51</v>
      </c>
    </row>
    <row r="79" spans="1:5" x14ac:dyDescent="0.2">
      <c r="A79" s="15" t="s">
        <v>549</v>
      </c>
      <c r="B79" s="1" t="s">
        <v>46</v>
      </c>
      <c r="C79" s="1" t="s">
        <v>210</v>
      </c>
      <c r="D79" s="1" t="s">
        <v>553</v>
      </c>
      <c r="E79" s="4" t="s">
        <v>676</v>
      </c>
    </row>
    <row r="80" spans="1:5" x14ac:dyDescent="0.2">
      <c r="A80" s="15" t="s">
        <v>540</v>
      </c>
      <c r="B80" s="1" t="s">
        <v>46</v>
      </c>
      <c r="C80" s="1" t="s">
        <v>445</v>
      </c>
      <c r="D80" s="1" t="s">
        <v>195</v>
      </c>
      <c r="E80" s="4" t="s">
        <v>677</v>
      </c>
    </row>
    <row r="81" spans="1:5" x14ac:dyDescent="0.2">
      <c r="A81" s="15" t="s">
        <v>558</v>
      </c>
      <c r="B81" s="1" t="s">
        <v>46</v>
      </c>
      <c r="C81" s="1" t="s">
        <v>237</v>
      </c>
      <c r="D81" s="1" t="s">
        <v>297</v>
      </c>
      <c r="E81" s="4" t="s">
        <v>678</v>
      </c>
    </row>
    <row r="82" spans="1:5" x14ac:dyDescent="0.2">
      <c r="A82" s="15" t="s">
        <v>554</v>
      </c>
      <c r="B82" s="1" t="s">
        <v>46</v>
      </c>
      <c r="C82" s="1" t="s">
        <v>210</v>
      </c>
      <c r="D82" s="1" t="s">
        <v>148</v>
      </c>
      <c r="E82" s="4" t="s">
        <v>679</v>
      </c>
    </row>
    <row r="83" spans="1:5" x14ac:dyDescent="0.2">
      <c r="A83" s="15" t="s">
        <v>568</v>
      </c>
      <c r="B83" s="1" t="s">
        <v>46</v>
      </c>
      <c r="C83" s="1" t="s">
        <v>273</v>
      </c>
      <c r="D83" s="1" t="s">
        <v>194</v>
      </c>
      <c r="E83" s="4" t="s">
        <v>680</v>
      </c>
    </row>
    <row r="85" spans="1:5" ht="14.25" x14ac:dyDescent="0.2">
      <c r="A85" s="16"/>
      <c r="B85" s="17" t="s">
        <v>126</v>
      </c>
    </row>
    <row r="86" spans="1:5" ht="15" x14ac:dyDescent="0.2">
      <c r="A86" s="18" t="s">
        <v>47</v>
      </c>
      <c r="B86" s="18" t="s">
        <v>48</v>
      </c>
      <c r="C86" s="18" t="s">
        <v>49</v>
      </c>
      <c r="D86" s="18" t="s">
        <v>50</v>
      </c>
      <c r="E86" s="18" t="s">
        <v>51</v>
      </c>
    </row>
    <row r="87" spans="1:5" x14ac:dyDescent="0.2">
      <c r="A87" s="15" t="s">
        <v>572</v>
      </c>
      <c r="B87" s="1" t="s">
        <v>230</v>
      </c>
      <c r="C87" s="1" t="s">
        <v>273</v>
      </c>
      <c r="D87" s="1" t="s">
        <v>29</v>
      </c>
      <c r="E87" s="4" t="s">
        <v>681</v>
      </c>
    </row>
    <row r="90" spans="1:5" ht="15" x14ac:dyDescent="0.2">
      <c r="A90" s="13" t="s">
        <v>45</v>
      </c>
      <c r="B90" s="14"/>
    </row>
    <row r="91" spans="1:5" ht="14.25" x14ac:dyDescent="0.2">
      <c r="A91" s="16"/>
      <c r="B91" s="17" t="s">
        <v>243</v>
      </c>
    </row>
    <row r="92" spans="1:5" ht="15" x14ac:dyDescent="0.2">
      <c r="A92" s="18" t="s">
        <v>47</v>
      </c>
      <c r="B92" s="18" t="s">
        <v>48</v>
      </c>
      <c r="C92" s="18" t="s">
        <v>49</v>
      </c>
      <c r="D92" s="18" t="s">
        <v>50</v>
      </c>
      <c r="E92" s="18" t="s">
        <v>51</v>
      </c>
    </row>
    <row r="93" spans="1:5" x14ac:dyDescent="0.2">
      <c r="A93" s="15" t="s">
        <v>586</v>
      </c>
      <c r="B93" s="1" t="s">
        <v>449</v>
      </c>
      <c r="C93" s="1" t="s">
        <v>54</v>
      </c>
      <c r="D93" s="1" t="s">
        <v>590</v>
      </c>
      <c r="E93" s="4" t="s">
        <v>682</v>
      </c>
    </row>
    <row r="94" spans="1:5" x14ac:dyDescent="0.2">
      <c r="A94" s="15" t="s">
        <v>576</v>
      </c>
      <c r="B94" s="1" t="s">
        <v>244</v>
      </c>
      <c r="C94" s="1" t="s">
        <v>273</v>
      </c>
      <c r="D94" s="1" t="s">
        <v>33</v>
      </c>
      <c r="E94" s="4" t="s">
        <v>683</v>
      </c>
    </row>
    <row r="95" spans="1:5" x14ac:dyDescent="0.2">
      <c r="A95" s="15" t="s">
        <v>591</v>
      </c>
      <c r="B95" s="1" t="s">
        <v>449</v>
      </c>
      <c r="C95" s="1" t="s">
        <v>54</v>
      </c>
      <c r="D95" s="1" t="s">
        <v>102</v>
      </c>
      <c r="E95" s="4" t="s">
        <v>684</v>
      </c>
    </row>
    <row r="97" spans="1:5" ht="14.25" x14ac:dyDescent="0.2">
      <c r="A97" s="16"/>
      <c r="B97" s="17" t="s">
        <v>212</v>
      </c>
    </row>
    <row r="98" spans="1:5" ht="15" x14ac:dyDescent="0.2">
      <c r="A98" s="18" t="s">
        <v>47</v>
      </c>
      <c r="B98" s="18" t="s">
        <v>48</v>
      </c>
      <c r="C98" s="18" t="s">
        <v>49</v>
      </c>
      <c r="D98" s="18" t="s">
        <v>50</v>
      </c>
      <c r="E98" s="18" t="s">
        <v>51</v>
      </c>
    </row>
    <row r="99" spans="1:5" x14ac:dyDescent="0.2">
      <c r="A99" s="15" t="s">
        <v>580</v>
      </c>
      <c r="B99" s="1" t="s">
        <v>213</v>
      </c>
      <c r="C99" s="1" t="s">
        <v>273</v>
      </c>
      <c r="D99" s="1" t="s">
        <v>585</v>
      </c>
      <c r="E99" s="4" t="s">
        <v>685</v>
      </c>
    </row>
    <row r="100" spans="1:5" x14ac:dyDescent="0.2">
      <c r="A100" s="15" t="s">
        <v>595</v>
      </c>
      <c r="B100" s="1" t="s">
        <v>213</v>
      </c>
      <c r="C100" s="1" t="s">
        <v>54</v>
      </c>
      <c r="D100" s="1" t="s">
        <v>73</v>
      </c>
      <c r="E100" s="4" t="s">
        <v>686</v>
      </c>
    </row>
    <row r="101" spans="1:5" x14ac:dyDescent="0.2">
      <c r="A101" s="15" t="s">
        <v>599</v>
      </c>
      <c r="B101" s="1" t="s">
        <v>213</v>
      </c>
      <c r="C101" s="1" t="s">
        <v>54</v>
      </c>
      <c r="D101" s="1" t="s">
        <v>73</v>
      </c>
      <c r="E101" s="4" t="s">
        <v>687</v>
      </c>
    </row>
    <row r="102" spans="1:5" x14ac:dyDescent="0.2">
      <c r="A102" s="15" t="s">
        <v>602</v>
      </c>
      <c r="B102" s="1" t="s">
        <v>213</v>
      </c>
      <c r="C102" s="1" t="s">
        <v>54</v>
      </c>
      <c r="D102" s="1" t="s">
        <v>488</v>
      </c>
      <c r="E102" s="4" t="s">
        <v>688</v>
      </c>
    </row>
    <row r="103" spans="1:5" x14ac:dyDescent="0.2">
      <c r="A103" s="15" t="s">
        <v>654</v>
      </c>
      <c r="B103" s="1" t="s">
        <v>213</v>
      </c>
      <c r="C103" s="1" t="s">
        <v>30</v>
      </c>
      <c r="D103" s="1" t="s">
        <v>206</v>
      </c>
      <c r="E103" s="4" t="s">
        <v>689</v>
      </c>
    </row>
    <row r="104" spans="1:5" x14ac:dyDescent="0.2">
      <c r="A104" s="15" t="s">
        <v>664</v>
      </c>
      <c r="B104" s="1" t="s">
        <v>213</v>
      </c>
      <c r="C104" s="1" t="s">
        <v>78</v>
      </c>
      <c r="D104" s="1" t="s">
        <v>206</v>
      </c>
      <c r="E104" s="4" t="s">
        <v>690</v>
      </c>
    </row>
    <row r="106" spans="1:5" ht="14.25" x14ac:dyDescent="0.2">
      <c r="A106" s="16"/>
      <c r="B106" s="17" t="s">
        <v>46</v>
      </c>
    </row>
    <row r="107" spans="1:5" ht="15" x14ac:dyDescent="0.2">
      <c r="A107" s="18" t="s">
        <v>47</v>
      </c>
      <c r="B107" s="18" t="s">
        <v>48</v>
      </c>
      <c r="C107" s="18" t="s">
        <v>49</v>
      </c>
      <c r="D107" s="18" t="s">
        <v>50</v>
      </c>
      <c r="E107" s="18" t="s">
        <v>51</v>
      </c>
    </row>
    <row r="108" spans="1:5" x14ac:dyDescent="0.2">
      <c r="A108" s="15" t="s">
        <v>633</v>
      </c>
      <c r="B108" s="1" t="s">
        <v>46</v>
      </c>
      <c r="C108" s="1" t="s">
        <v>85</v>
      </c>
      <c r="D108" s="1" t="s">
        <v>504</v>
      </c>
      <c r="E108" s="4" t="s">
        <v>691</v>
      </c>
    </row>
    <row r="109" spans="1:5" x14ac:dyDescent="0.2">
      <c r="A109" s="15" t="s">
        <v>639</v>
      </c>
      <c r="B109" s="1" t="s">
        <v>46</v>
      </c>
      <c r="C109" s="1" t="s">
        <v>85</v>
      </c>
      <c r="D109" s="1" t="s">
        <v>63</v>
      </c>
      <c r="E109" s="4" t="s">
        <v>692</v>
      </c>
    </row>
    <row r="110" spans="1:5" x14ac:dyDescent="0.2">
      <c r="A110" s="15" t="s">
        <v>645</v>
      </c>
      <c r="B110" s="1" t="s">
        <v>46</v>
      </c>
      <c r="C110" s="1" t="s">
        <v>85</v>
      </c>
      <c r="D110" s="1" t="s">
        <v>182</v>
      </c>
      <c r="E110" s="4" t="s">
        <v>693</v>
      </c>
    </row>
    <row r="111" spans="1:5" x14ac:dyDescent="0.2">
      <c r="A111" s="15" t="s">
        <v>668</v>
      </c>
      <c r="B111" s="1" t="s">
        <v>46</v>
      </c>
      <c r="C111" s="1" t="s">
        <v>78</v>
      </c>
      <c r="D111" s="1" t="s">
        <v>208</v>
      </c>
      <c r="E111" s="4" t="s">
        <v>694</v>
      </c>
    </row>
    <row r="112" spans="1:5" x14ac:dyDescent="0.2">
      <c r="A112" s="15" t="s">
        <v>610</v>
      </c>
      <c r="B112" s="1" t="s">
        <v>46</v>
      </c>
      <c r="C112" s="1" t="s">
        <v>194</v>
      </c>
      <c r="D112" s="1" t="s">
        <v>614</v>
      </c>
      <c r="E112" s="4" t="s">
        <v>695</v>
      </c>
    </row>
    <row r="113" spans="1:5" x14ac:dyDescent="0.2">
      <c r="A113" s="15" t="s">
        <v>615</v>
      </c>
      <c r="B113" s="1" t="s">
        <v>46</v>
      </c>
      <c r="C113" s="1" t="s">
        <v>194</v>
      </c>
      <c r="D113" s="1" t="s">
        <v>120</v>
      </c>
      <c r="E113" s="4" t="s">
        <v>696</v>
      </c>
    </row>
    <row r="114" spans="1:5" x14ac:dyDescent="0.2">
      <c r="A114" s="15" t="s">
        <v>659</v>
      </c>
      <c r="B114" s="1" t="s">
        <v>46</v>
      </c>
      <c r="C114" s="1" t="s">
        <v>30</v>
      </c>
      <c r="D114" s="1" t="s">
        <v>73</v>
      </c>
      <c r="E114" s="4" t="s">
        <v>697</v>
      </c>
    </row>
    <row r="115" spans="1:5" x14ac:dyDescent="0.2">
      <c r="A115" s="15" t="s">
        <v>620</v>
      </c>
      <c r="B115" s="1" t="s">
        <v>46</v>
      </c>
      <c r="C115" s="1" t="s">
        <v>194</v>
      </c>
      <c r="D115" s="1" t="s">
        <v>28</v>
      </c>
      <c r="E115" s="4" t="s">
        <v>698</v>
      </c>
    </row>
    <row r="116" spans="1:5" x14ac:dyDescent="0.2">
      <c r="A116" s="15" t="s">
        <v>649</v>
      </c>
      <c r="B116" s="1" t="s">
        <v>46</v>
      </c>
      <c r="C116" s="1" t="s">
        <v>87</v>
      </c>
      <c r="D116" s="1" t="s">
        <v>94</v>
      </c>
      <c r="E116" s="4" t="s">
        <v>699</v>
      </c>
    </row>
    <row r="118" spans="1:5" ht="14.25" x14ac:dyDescent="0.2">
      <c r="A118" s="16"/>
      <c r="B118" s="17" t="s">
        <v>126</v>
      </c>
    </row>
    <row r="119" spans="1:5" ht="15" x14ac:dyDescent="0.2">
      <c r="A119" s="18" t="s">
        <v>47</v>
      </c>
      <c r="B119" s="18" t="s">
        <v>48</v>
      </c>
      <c r="C119" s="18" t="s">
        <v>49</v>
      </c>
      <c r="D119" s="18" t="s">
        <v>50</v>
      </c>
      <c r="E119" s="18" t="s">
        <v>51</v>
      </c>
    </row>
    <row r="120" spans="1:5" x14ac:dyDescent="0.2">
      <c r="A120" s="15" t="s">
        <v>624</v>
      </c>
      <c r="B120" s="1" t="s">
        <v>230</v>
      </c>
      <c r="C120" s="1" t="s">
        <v>194</v>
      </c>
      <c r="D120" s="1" t="s">
        <v>614</v>
      </c>
      <c r="E120" s="4" t="s">
        <v>700</v>
      </c>
    </row>
    <row r="121" spans="1:5" x14ac:dyDescent="0.2">
      <c r="A121" s="15" t="s">
        <v>374</v>
      </c>
      <c r="B121" s="1" t="s">
        <v>230</v>
      </c>
      <c r="C121" s="1" t="s">
        <v>87</v>
      </c>
      <c r="D121" s="1" t="s">
        <v>73</v>
      </c>
      <c r="E121" s="4" t="s">
        <v>701</v>
      </c>
    </row>
    <row r="122" spans="1:5" x14ac:dyDescent="0.2">
      <c r="A122" s="15" t="s">
        <v>629</v>
      </c>
      <c r="B122" s="1" t="s">
        <v>230</v>
      </c>
      <c r="C122" s="1" t="s">
        <v>194</v>
      </c>
      <c r="D122" s="1" t="s">
        <v>28</v>
      </c>
      <c r="E122" s="4" t="s">
        <v>702</v>
      </c>
    </row>
  </sheetData>
  <mergeCells count="2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A54:L54"/>
    <mergeCell ref="M3:M4"/>
    <mergeCell ref="A5:L5"/>
    <mergeCell ref="A9:L9"/>
    <mergeCell ref="A14:L14"/>
    <mergeCell ref="A17:L17"/>
    <mergeCell ref="A22:L22"/>
    <mergeCell ref="A26:L26"/>
    <mergeCell ref="A34:L34"/>
    <mergeCell ref="A41:L41"/>
    <mergeCell ref="A46:L46"/>
    <mergeCell ref="A50:L5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C976D-9B69-43E6-8C80-45DF3A9D1B12}">
  <dimension ref="A1:M31"/>
  <sheetViews>
    <sheetView topLeftCell="A4" workbookViewId="0">
      <selection activeCell="E14" sqref="E14:F19"/>
    </sheetView>
  </sheetViews>
  <sheetFormatPr defaultRowHeight="12.75" x14ac:dyDescent="0.2"/>
  <cols>
    <col min="1" max="1" width="28.28515625" style="4" bestFit="1" customWidth="1"/>
    <col min="2" max="2" width="28.5703125" style="1" bestFit="1" customWidth="1"/>
    <col min="3" max="3" width="10.5703125" style="1" bestFit="1" customWidth="1"/>
    <col min="4" max="4" width="8.42578125" style="1" bestFit="1" customWidth="1"/>
    <col min="5" max="5" width="22.7109375" style="5" bestFit="1" customWidth="1"/>
    <col min="6" max="6" width="28.42578125" style="5" bestFit="1" customWidth="1"/>
    <col min="7" max="9" width="5.5703125" style="1" bestFit="1" customWidth="1"/>
    <col min="10" max="10" width="3.28515625" style="1" bestFit="1" customWidth="1"/>
    <col min="11" max="11" width="11.28515625" style="4" bestFit="1" customWidth="1"/>
    <col min="12" max="12" width="8.5703125" style="1" bestFit="1" customWidth="1"/>
    <col min="13" max="13" width="15.140625" style="5" bestFit="1" customWidth="1"/>
    <col min="14" max="16384" width="9.140625" style="1"/>
  </cols>
  <sheetData>
    <row r="1" spans="1:13" ht="29.1" customHeight="1" x14ac:dyDescent="0.2">
      <c r="A1" s="44" t="s">
        <v>521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2" customFormat="1" ht="12.75" customHeight="1" x14ac:dyDescent="0.2">
      <c r="A3" s="50" t="s">
        <v>0</v>
      </c>
      <c r="B3" s="52" t="s">
        <v>14</v>
      </c>
      <c r="C3" s="52" t="s">
        <v>15</v>
      </c>
      <c r="D3" s="54" t="s">
        <v>18</v>
      </c>
      <c r="E3" s="54" t="s">
        <v>3</v>
      </c>
      <c r="F3" s="54" t="s">
        <v>16</v>
      </c>
      <c r="G3" s="56"/>
      <c r="H3" s="56"/>
      <c r="I3" s="56"/>
      <c r="J3" s="57"/>
      <c r="K3" s="58" t="s">
        <v>13</v>
      </c>
      <c r="L3" s="54" t="s">
        <v>2</v>
      </c>
      <c r="M3" s="38" t="s">
        <v>1</v>
      </c>
    </row>
    <row r="4" spans="1:13" s="2" customFormat="1" ht="21" customHeight="1" thickBot="1" x14ac:dyDescent="0.25">
      <c r="A4" s="51"/>
      <c r="B4" s="53"/>
      <c r="C4" s="53"/>
      <c r="D4" s="53"/>
      <c r="E4" s="53"/>
      <c r="F4" s="53"/>
      <c r="G4" s="3" t="s">
        <v>9</v>
      </c>
      <c r="H4" s="3" t="s">
        <v>10</v>
      </c>
      <c r="I4" s="3" t="s">
        <v>11</v>
      </c>
      <c r="J4" s="3" t="s">
        <v>12</v>
      </c>
      <c r="K4" s="59"/>
      <c r="L4" s="53"/>
      <c r="M4" s="39"/>
    </row>
    <row r="5" spans="1:13" ht="15" x14ac:dyDescent="0.2">
      <c r="A5" s="40" t="s">
        <v>161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3" x14ac:dyDescent="0.2">
      <c r="A6" s="6" t="s">
        <v>523</v>
      </c>
      <c r="B6" s="7" t="s">
        <v>524</v>
      </c>
      <c r="C6" s="7" t="s">
        <v>525</v>
      </c>
      <c r="D6" s="7" t="str">
        <f>"0,6456"</f>
        <v>0,6456</v>
      </c>
      <c r="E6" s="8" t="s">
        <v>40</v>
      </c>
      <c r="F6" s="8" t="s">
        <v>41</v>
      </c>
      <c r="G6" s="9" t="s">
        <v>207</v>
      </c>
      <c r="H6" s="7" t="s">
        <v>208</v>
      </c>
      <c r="I6" s="7" t="s">
        <v>63</v>
      </c>
      <c r="J6" s="9"/>
      <c r="K6" s="6" t="str">
        <f>"240,0"</f>
        <v>240,0</v>
      </c>
      <c r="L6" s="7" t="str">
        <f>"154,9440"</f>
        <v>154,9440</v>
      </c>
      <c r="M6" s="8" t="s">
        <v>34</v>
      </c>
    </row>
    <row r="8" spans="1:13" ht="15" x14ac:dyDescent="0.2">
      <c r="A8" s="42" t="s">
        <v>95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3" x14ac:dyDescent="0.2">
      <c r="A9" s="6" t="s">
        <v>105</v>
      </c>
      <c r="B9" s="7" t="s">
        <v>106</v>
      </c>
      <c r="C9" s="7" t="s">
        <v>107</v>
      </c>
      <c r="D9" s="7" t="str">
        <f>"0,6119"</f>
        <v>0,6119</v>
      </c>
      <c r="E9" s="8" t="s">
        <v>40</v>
      </c>
      <c r="F9" s="8" t="s">
        <v>108</v>
      </c>
      <c r="G9" s="7" t="s">
        <v>102</v>
      </c>
      <c r="H9" s="7" t="s">
        <v>120</v>
      </c>
      <c r="I9" s="7" t="s">
        <v>42</v>
      </c>
      <c r="J9" s="9"/>
      <c r="K9" s="6" t="str">
        <f>"200,0"</f>
        <v>200,0</v>
      </c>
      <c r="L9" s="7" t="str">
        <f>"210,2317"</f>
        <v>210,2317</v>
      </c>
      <c r="M9" s="8" t="s">
        <v>34</v>
      </c>
    </row>
    <row r="11" spans="1:13" ht="15" x14ac:dyDescent="0.2">
      <c r="A11" s="42" t="s">
        <v>65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1:13" x14ac:dyDescent="0.2">
      <c r="A12" s="6" t="s">
        <v>527</v>
      </c>
      <c r="B12" s="7" t="s">
        <v>528</v>
      </c>
      <c r="C12" s="7" t="s">
        <v>529</v>
      </c>
      <c r="D12" s="7" t="str">
        <f>"0,5546"</f>
        <v>0,5546</v>
      </c>
      <c r="E12" s="8" t="s">
        <v>40</v>
      </c>
      <c r="F12" s="8" t="s">
        <v>41</v>
      </c>
      <c r="G12" s="7" t="s">
        <v>33</v>
      </c>
      <c r="H12" s="7" t="s">
        <v>102</v>
      </c>
      <c r="I12" s="7" t="s">
        <v>530</v>
      </c>
      <c r="J12" s="9"/>
      <c r="K12" s="6" t="str">
        <f>"192,5"</f>
        <v>192,5</v>
      </c>
      <c r="L12" s="7" t="str">
        <f>"151,7067"</f>
        <v>151,7067</v>
      </c>
      <c r="M12" s="8" t="s">
        <v>531</v>
      </c>
    </row>
    <row r="14" spans="1:13" ht="15" x14ac:dyDescent="0.2">
      <c r="E14" s="10" t="s">
        <v>760</v>
      </c>
    </row>
    <row r="15" spans="1:13" ht="15" x14ac:dyDescent="0.2">
      <c r="E15" s="10" t="s">
        <v>761</v>
      </c>
    </row>
    <row r="16" spans="1:13" ht="15" x14ac:dyDescent="0.2">
      <c r="E16" s="10" t="s">
        <v>762</v>
      </c>
    </row>
    <row r="17" spans="1:5" ht="15" x14ac:dyDescent="0.2">
      <c r="E17" s="10" t="s">
        <v>763</v>
      </c>
    </row>
    <row r="18" spans="1:5" ht="15" x14ac:dyDescent="0.2">
      <c r="E18" s="10" t="s">
        <v>765</v>
      </c>
    </row>
    <row r="19" spans="1:5" ht="15" x14ac:dyDescent="0.2">
      <c r="E19" s="10" t="s">
        <v>764</v>
      </c>
    </row>
    <row r="20" spans="1:5" ht="15" x14ac:dyDescent="0.2">
      <c r="E20" s="10"/>
    </row>
    <row r="22" spans="1:5" ht="18" x14ac:dyDescent="0.25">
      <c r="A22" s="11" t="s">
        <v>44</v>
      </c>
      <c r="B22" s="12"/>
    </row>
    <row r="23" spans="1:5" ht="15" x14ac:dyDescent="0.2">
      <c r="A23" s="13" t="s">
        <v>45</v>
      </c>
      <c r="B23" s="14"/>
    </row>
    <row r="24" spans="1:5" ht="14.25" x14ac:dyDescent="0.2">
      <c r="A24" s="16"/>
      <c r="B24" s="17" t="s">
        <v>46</v>
      </c>
    </row>
    <row r="25" spans="1:5" ht="15" x14ac:dyDescent="0.2">
      <c r="A25" s="18" t="s">
        <v>47</v>
      </c>
      <c r="B25" s="18" t="s">
        <v>48</v>
      </c>
      <c r="C25" s="18" t="s">
        <v>49</v>
      </c>
      <c r="D25" s="18" t="s">
        <v>50</v>
      </c>
      <c r="E25" s="18" t="s">
        <v>51</v>
      </c>
    </row>
    <row r="26" spans="1:5" x14ac:dyDescent="0.2">
      <c r="A26" s="15" t="s">
        <v>522</v>
      </c>
      <c r="B26" s="1" t="s">
        <v>46</v>
      </c>
      <c r="C26" s="1" t="s">
        <v>194</v>
      </c>
      <c r="D26" s="1" t="s">
        <v>63</v>
      </c>
      <c r="E26" s="4" t="s">
        <v>532</v>
      </c>
    </row>
    <row r="28" spans="1:5" ht="14.25" x14ac:dyDescent="0.2">
      <c r="A28" s="16"/>
      <c r="B28" s="17" t="s">
        <v>126</v>
      </c>
    </row>
    <row r="29" spans="1:5" ht="15" x14ac:dyDescent="0.2">
      <c r="A29" s="18" t="s">
        <v>47</v>
      </c>
      <c r="B29" s="18" t="s">
        <v>48</v>
      </c>
      <c r="C29" s="18" t="s">
        <v>49</v>
      </c>
      <c r="D29" s="18" t="s">
        <v>50</v>
      </c>
      <c r="E29" s="18" t="s">
        <v>51</v>
      </c>
    </row>
    <row r="30" spans="1:5" x14ac:dyDescent="0.2">
      <c r="A30" s="15" t="s">
        <v>104</v>
      </c>
      <c r="B30" s="1" t="s">
        <v>133</v>
      </c>
      <c r="C30" s="1" t="s">
        <v>85</v>
      </c>
      <c r="D30" s="1" t="s">
        <v>42</v>
      </c>
      <c r="E30" s="4" t="s">
        <v>533</v>
      </c>
    </row>
    <row r="31" spans="1:5" x14ac:dyDescent="0.2">
      <c r="A31" s="15" t="s">
        <v>526</v>
      </c>
      <c r="B31" s="1" t="s">
        <v>534</v>
      </c>
      <c r="C31" s="1" t="s">
        <v>78</v>
      </c>
      <c r="D31" s="1" t="s">
        <v>530</v>
      </c>
      <c r="E31" s="4" t="s">
        <v>535</v>
      </c>
    </row>
  </sheetData>
  <mergeCells count="14"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E821B-AA6F-44D4-8D98-14612D7D6443}">
  <dimension ref="A1:M39"/>
  <sheetViews>
    <sheetView topLeftCell="B11" workbookViewId="0">
      <selection activeCell="E20" sqref="E20:F25"/>
    </sheetView>
  </sheetViews>
  <sheetFormatPr defaultRowHeight="12.75" x14ac:dyDescent="0.2"/>
  <cols>
    <col min="1" max="1" width="28.28515625" style="4" bestFit="1" customWidth="1"/>
    <col min="2" max="2" width="28.5703125" style="1" bestFit="1" customWidth="1"/>
    <col min="3" max="3" width="10.5703125" style="1" bestFit="1" customWidth="1"/>
    <col min="4" max="4" width="8.42578125" style="1" bestFit="1" customWidth="1"/>
    <col min="5" max="5" width="22.7109375" style="5" bestFit="1" customWidth="1"/>
    <col min="6" max="6" width="26.85546875" style="5" bestFit="1" customWidth="1"/>
    <col min="7" max="9" width="5.5703125" style="1" bestFit="1" customWidth="1"/>
    <col min="10" max="10" width="2.140625" style="1" bestFit="1" customWidth="1"/>
    <col min="11" max="11" width="11.28515625" style="4" bestFit="1" customWidth="1"/>
    <col min="12" max="12" width="8.5703125" style="1" bestFit="1" customWidth="1"/>
    <col min="13" max="13" width="13.28515625" style="5" bestFit="1" customWidth="1"/>
    <col min="14" max="16384" width="9.140625" style="1"/>
  </cols>
  <sheetData>
    <row r="1" spans="1:13" ht="29.1" customHeight="1" x14ac:dyDescent="0.2">
      <c r="A1" s="44" t="s">
        <v>490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2" customFormat="1" ht="12.75" customHeight="1" x14ac:dyDescent="0.2">
      <c r="A3" s="50" t="s">
        <v>0</v>
      </c>
      <c r="B3" s="52" t="s">
        <v>14</v>
      </c>
      <c r="C3" s="52" t="s">
        <v>15</v>
      </c>
      <c r="D3" s="54" t="s">
        <v>18</v>
      </c>
      <c r="E3" s="54" t="s">
        <v>3</v>
      </c>
      <c r="F3" s="54" t="s">
        <v>16</v>
      </c>
      <c r="G3" s="56"/>
      <c r="H3" s="56"/>
      <c r="I3" s="56"/>
      <c r="J3" s="56"/>
      <c r="K3" s="58" t="s">
        <v>13</v>
      </c>
      <c r="L3" s="54" t="s">
        <v>2</v>
      </c>
      <c r="M3" s="38" t="s">
        <v>1</v>
      </c>
    </row>
    <row r="4" spans="1:13" s="2" customFormat="1" ht="21" customHeight="1" thickBot="1" x14ac:dyDescent="0.25">
      <c r="A4" s="51"/>
      <c r="B4" s="53"/>
      <c r="C4" s="53"/>
      <c r="D4" s="53"/>
      <c r="E4" s="53"/>
      <c r="F4" s="53"/>
      <c r="G4" s="3" t="s">
        <v>5</v>
      </c>
      <c r="H4" s="3" t="s">
        <v>6</v>
      </c>
      <c r="I4" s="3" t="s">
        <v>7</v>
      </c>
      <c r="J4" s="3" t="s">
        <v>8</v>
      </c>
      <c r="K4" s="59"/>
      <c r="L4" s="53"/>
      <c r="M4" s="39"/>
    </row>
    <row r="5" spans="1:13" ht="15" x14ac:dyDescent="0.2">
      <c r="A5" s="40" t="s">
        <v>161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3" x14ac:dyDescent="0.2">
      <c r="A6" s="6" t="s">
        <v>492</v>
      </c>
      <c r="B6" s="7" t="s">
        <v>493</v>
      </c>
      <c r="C6" s="7" t="s">
        <v>494</v>
      </c>
      <c r="D6" s="7" t="str">
        <f>"0,6612"</f>
        <v>0,6612</v>
      </c>
      <c r="E6" s="8" t="s">
        <v>40</v>
      </c>
      <c r="F6" s="8" t="s">
        <v>343</v>
      </c>
      <c r="G6" s="7" t="s">
        <v>28</v>
      </c>
      <c r="H6" s="7" t="s">
        <v>94</v>
      </c>
      <c r="I6" s="9" t="s">
        <v>435</v>
      </c>
      <c r="J6" s="9"/>
      <c r="K6" s="6" t="str">
        <f>"162,5"</f>
        <v>162,5</v>
      </c>
      <c r="L6" s="7" t="str">
        <f>"107,4450"</f>
        <v>107,4450</v>
      </c>
      <c r="M6" s="8" t="s">
        <v>34</v>
      </c>
    </row>
    <row r="8" spans="1:13" ht="15" x14ac:dyDescent="0.2">
      <c r="A8" s="42" t="s">
        <v>95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3" x14ac:dyDescent="0.2">
      <c r="A9" s="6" t="s">
        <v>496</v>
      </c>
      <c r="B9" s="7" t="s">
        <v>497</v>
      </c>
      <c r="C9" s="7" t="s">
        <v>498</v>
      </c>
      <c r="D9" s="7" t="str">
        <f>"0,6340"</f>
        <v>0,6340</v>
      </c>
      <c r="E9" s="8" t="s">
        <v>422</v>
      </c>
      <c r="F9" s="8" t="s">
        <v>41</v>
      </c>
      <c r="G9" s="9" t="s">
        <v>32</v>
      </c>
      <c r="H9" s="7" t="s">
        <v>32</v>
      </c>
      <c r="I9" s="9" t="s">
        <v>120</v>
      </c>
      <c r="J9" s="9"/>
      <c r="K9" s="6" t="str">
        <f>"160,0"</f>
        <v>160,0</v>
      </c>
      <c r="L9" s="7" t="str">
        <f>"101,4400"</f>
        <v>101,4400</v>
      </c>
      <c r="M9" s="8" t="s">
        <v>499</v>
      </c>
    </row>
    <row r="11" spans="1:13" ht="15" x14ac:dyDescent="0.2">
      <c r="A11" s="42" t="s">
        <v>35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1:13" x14ac:dyDescent="0.2">
      <c r="A12" s="6" t="s">
        <v>501</v>
      </c>
      <c r="B12" s="7" t="s">
        <v>502</v>
      </c>
      <c r="C12" s="7" t="s">
        <v>503</v>
      </c>
      <c r="D12" s="7" t="str">
        <f>"0,5674"</f>
        <v>0,5674</v>
      </c>
      <c r="E12" s="8" t="s">
        <v>40</v>
      </c>
      <c r="F12" s="8" t="s">
        <v>41</v>
      </c>
      <c r="G12" s="7" t="s">
        <v>63</v>
      </c>
      <c r="H12" s="7" t="s">
        <v>504</v>
      </c>
      <c r="I12" s="9" t="s">
        <v>505</v>
      </c>
      <c r="J12" s="9"/>
      <c r="K12" s="6" t="str">
        <f>"250,0"</f>
        <v>250,0</v>
      </c>
      <c r="L12" s="7" t="str">
        <f>"141,8625"</f>
        <v>141,8625</v>
      </c>
      <c r="M12" s="8" t="s">
        <v>34</v>
      </c>
    </row>
    <row r="14" spans="1:13" ht="15" x14ac:dyDescent="0.2">
      <c r="A14" s="42" t="s">
        <v>65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13" x14ac:dyDescent="0.2">
      <c r="A15" s="6" t="s">
        <v>507</v>
      </c>
      <c r="B15" s="7" t="s">
        <v>508</v>
      </c>
      <c r="C15" s="7" t="s">
        <v>509</v>
      </c>
      <c r="D15" s="7" t="str">
        <f>"0,5549"</f>
        <v>0,5549</v>
      </c>
      <c r="E15" s="8" t="s">
        <v>40</v>
      </c>
      <c r="F15" s="8" t="s">
        <v>296</v>
      </c>
      <c r="G15" s="9" t="s">
        <v>510</v>
      </c>
      <c r="H15" s="7" t="s">
        <v>510</v>
      </c>
      <c r="I15" s="9" t="s">
        <v>72</v>
      </c>
      <c r="J15" s="9"/>
      <c r="K15" s="6" t="str">
        <f>"280,0"</f>
        <v>280,0</v>
      </c>
      <c r="L15" s="7" t="str">
        <f>"175,5704"</f>
        <v>175,5704</v>
      </c>
      <c r="M15" s="8" t="s">
        <v>34</v>
      </c>
    </row>
    <row r="17" spans="1:13" ht="15" x14ac:dyDescent="0.2">
      <c r="A17" s="42" t="s">
        <v>511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3" x14ac:dyDescent="0.2">
      <c r="A18" s="6" t="s">
        <v>513</v>
      </c>
      <c r="B18" s="7" t="s">
        <v>514</v>
      </c>
      <c r="C18" s="7" t="s">
        <v>515</v>
      </c>
      <c r="D18" s="7" t="str">
        <f>"0,5443"</f>
        <v>0,5443</v>
      </c>
      <c r="E18" s="8" t="s">
        <v>40</v>
      </c>
      <c r="F18" s="8" t="s">
        <v>41</v>
      </c>
      <c r="G18" s="7" t="s">
        <v>206</v>
      </c>
      <c r="H18" s="7" t="s">
        <v>182</v>
      </c>
      <c r="I18" s="7" t="s">
        <v>63</v>
      </c>
      <c r="J18" s="9"/>
      <c r="K18" s="6" t="str">
        <f>"240,0"</f>
        <v>240,0</v>
      </c>
      <c r="L18" s="7" t="str">
        <f>"134,6717"</f>
        <v>134,6717</v>
      </c>
      <c r="M18" s="8" t="s">
        <v>34</v>
      </c>
    </row>
    <row r="20" spans="1:13" ht="15" x14ac:dyDescent="0.2">
      <c r="E20" s="10" t="s">
        <v>760</v>
      </c>
    </row>
    <row r="21" spans="1:13" ht="15" x14ac:dyDescent="0.2">
      <c r="E21" s="10" t="s">
        <v>761</v>
      </c>
    </row>
    <row r="22" spans="1:13" ht="15" x14ac:dyDescent="0.2">
      <c r="E22" s="10" t="s">
        <v>762</v>
      </c>
    </row>
    <row r="23" spans="1:13" ht="15" x14ac:dyDescent="0.2">
      <c r="E23" s="10" t="s">
        <v>763</v>
      </c>
    </row>
    <row r="24" spans="1:13" ht="15" x14ac:dyDescent="0.2">
      <c r="E24" s="10" t="s">
        <v>765</v>
      </c>
    </row>
    <row r="25" spans="1:13" ht="15" x14ac:dyDescent="0.2">
      <c r="E25" s="10" t="s">
        <v>764</v>
      </c>
    </row>
    <row r="26" spans="1:13" ht="15" x14ac:dyDescent="0.2">
      <c r="E26" s="10"/>
    </row>
    <row r="28" spans="1:13" ht="18" x14ac:dyDescent="0.25">
      <c r="A28" s="11" t="s">
        <v>44</v>
      </c>
      <c r="B28" s="12"/>
    </row>
    <row r="29" spans="1:13" ht="15" x14ac:dyDescent="0.2">
      <c r="A29" s="13" t="s">
        <v>45</v>
      </c>
      <c r="B29" s="14"/>
    </row>
    <row r="30" spans="1:13" ht="14.25" x14ac:dyDescent="0.2">
      <c r="A30" s="16"/>
      <c r="B30" s="17" t="s">
        <v>46</v>
      </c>
    </row>
    <row r="31" spans="1:13" ht="15" x14ac:dyDescent="0.2">
      <c r="A31" s="18" t="s">
        <v>47</v>
      </c>
      <c r="B31" s="18" t="s">
        <v>48</v>
      </c>
      <c r="C31" s="18" t="s">
        <v>49</v>
      </c>
      <c r="D31" s="18" t="s">
        <v>50</v>
      </c>
      <c r="E31" s="18" t="s">
        <v>51</v>
      </c>
    </row>
    <row r="32" spans="1:13" x14ac:dyDescent="0.2">
      <c r="A32" s="15" t="s">
        <v>500</v>
      </c>
      <c r="B32" s="1" t="s">
        <v>46</v>
      </c>
      <c r="C32" s="1" t="s">
        <v>30</v>
      </c>
      <c r="D32" s="1" t="s">
        <v>504</v>
      </c>
      <c r="E32" s="4" t="s">
        <v>516</v>
      </c>
    </row>
    <row r="33" spans="1:5" x14ac:dyDescent="0.2">
      <c r="A33" s="15" t="s">
        <v>491</v>
      </c>
      <c r="B33" s="1" t="s">
        <v>46</v>
      </c>
      <c r="C33" s="1" t="s">
        <v>194</v>
      </c>
      <c r="D33" s="1" t="s">
        <v>94</v>
      </c>
      <c r="E33" s="4" t="s">
        <v>517</v>
      </c>
    </row>
    <row r="35" spans="1:5" ht="14.25" x14ac:dyDescent="0.2">
      <c r="A35" s="16"/>
      <c r="B35" s="17" t="s">
        <v>126</v>
      </c>
    </row>
    <row r="36" spans="1:5" ht="15" x14ac:dyDescent="0.2">
      <c r="A36" s="18" t="s">
        <v>47</v>
      </c>
      <c r="B36" s="18" t="s">
        <v>48</v>
      </c>
      <c r="C36" s="18" t="s">
        <v>49</v>
      </c>
      <c r="D36" s="18" t="s">
        <v>50</v>
      </c>
      <c r="E36" s="18" t="s">
        <v>51</v>
      </c>
    </row>
    <row r="37" spans="1:5" x14ac:dyDescent="0.2">
      <c r="A37" s="15" t="s">
        <v>506</v>
      </c>
      <c r="B37" s="1" t="s">
        <v>127</v>
      </c>
      <c r="C37" s="1" t="s">
        <v>78</v>
      </c>
      <c r="D37" s="1" t="s">
        <v>510</v>
      </c>
      <c r="E37" s="4" t="s">
        <v>518</v>
      </c>
    </row>
    <row r="38" spans="1:5" x14ac:dyDescent="0.2">
      <c r="A38" s="15" t="s">
        <v>512</v>
      </c>
      <c r="B38" s="1" t="s">
        <v>230</v>
      </c>
      <c r="C38" s="1" t="s">
        <v>27</v>
      </c>
      <c r="D38" s="1" t="s">
        <v>63</v>
      </c>
      <c r="E38" s="4" t="s">
        <v>519</v>
      </c>
    </row>
    <row r="39" spans="1:5" x14ac:dyDescent="0.2">
      <c r="A39" s="15" t="s">
        <v>495</v>
      </c>
      <c r="B39" s="1" t="s">
        <v>230</v>
      </c>
      <c r="C39" s="1" t="s">
        <v>85</v>
      </c>
      <c r="D39" s="1" t="s">
        <v>32</v>
      </c>
      <c r="E39" s="4" t="s">
        <v>520</v>
      </c>
    </row>
  </sheetData>
  <mergeCells count="16">
    <mergeCell ref="A17:L17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1:L11"/>
    <mergeCell ref="A14:L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B9A4B-E72B-49AD-9E5A-5B1732EFBA56}">
  <dimension ref="A1:M20"/>
  <sheetViews>
    <sheetView workbookViewId="0">
      <selection activeCell="E8" sqref="E8:F13"/>
    </sheetView>
  </sheetViews>
  <sheetFormatPr defaultRowHeight="12.75" x14ac:dyDescent="0.2"/>
  <cols>
    <col min="1" max="1" width="28.28515625" style="4" bestFit="1" customWidth="1"/>
    <col min="2" max="2" width="22.85546875" style="1" bestFit="1" customWidth="1"/>
    <col min="3" max="3" width="10.5703125" style="1" bestFit="1" customWidth="1"/>
    <col min="4" max="4" width="8.42578125" style="1" bestFit="1" customWidth="1"/>
    <col min="5" max="5" width="22.7109375" style="5" bestFit="1" customWidth="1"/>
    <col min="6" max="6" width="29.140625" style="5" bestFit="1" customWidth="1"/>
    <col min="7" max="9" width="5.5703125" style="1" bestFit="1" customWidth="1"/>
    <col min="10" max="10" width="2.140625" style="1" bestFit="1" customWidth="1"/>
    <col min="11" max="11" width="11.28515625" style="4" bestFit="1" customWidth="1"/>
    <col min="12" max="12" width="8.5703125" style="1" bestFit="1" customWidth="1"/>
    <col min="13" max="13" width="8.85546875" style="5" bestFit="1" customWidth="1"/>
    <col min="14" max="16384" width="9.140625" style="1"/>
  </cols>
  <sheetData>
    <row r="1" spans="1:13" ht="29.1" customHeight="1" x14ac:dyDescent="0.2">
      <c r="A1" s="44" t="s">
        <v>483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2" customFormat="1" ht="12.75" customHeight="1" x14ac:dyDescent="0.2">
      <c r="A3" s="50" t="s">
        <v>0</v>
      </c>
      <c r="B3" s="52" t="s">
        <v>14</v>
      </c>
      <c r="C3" s="52" t="s">
        <v>15</v>
      </c>
      <c r="D3" s="54" t="s">
        <v>18</v>
      </c>
      <c r="E3" s="54" t="s">
        <v>3</v>
      </c>
      <c r="F3" s="54" t="s">
        <v>16</v>
      </c>
      <c r="G3" s="56"/>
      <c r="H3" s="56"/>
      <c r="I3" s="56"/>
      <c r="J3" s="56"/>
      <c r="K3" s="58" t="s">
        <v>13</v>
      </c>
      <c r="L3" s="54" t="s">
        <v>2</v>
      </c>
      <c r="M3" s="38" t="s">
        <v>1</v>
      </c>
    </row>
    <row r="4" spans="1:13" s="2" customFormat="1" ht="21" customHeight="1" thickBot="1" x14ac:dyDescent="0.25">
      <c r="A4" s="51"/>
      <c r="B4" s="53"/>
      <c r="C4" s="53"/>
      <c r="D4" s="53"/>
      <c r="E4" s="53"/>
      <c r="F4" s="53"/>
      <c r="G4" s="3" t="s">
        <v>5</v>
      </c>
      <c r="H4" s="3" t="s">
        <v>6</v>
      </c>
      <c r="I4" s="3" t="s">
        <v>7</v>
      </c>
      <c r="J4" s="3" t="s">
        <v>8</v>
      </c>
      <c r="K4" s="59"/>
      <c r="L4" s="53"/>
      <c r="M4" s="39"/>
    </row>
    <row r="5" spans="1:13" ht="15" x14ac:dyDescent="0.2">
      <c r="A5" s="40" t="s">
        <v>58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3" x14ac:dyDescent="0.2">
      <c r="A6" s="6" t="s">
        <v>485</v>
      </c>
      <c r="B6" s="7" t="s">
        <v>486</v>
      </c>
      <c r="C6" s="7" t="s">
        <v>487</v>
      </c>
      <c r="D6" s="7" t="str">
        <f>"0,5848"</f>
        <v>0,5848</v>
      </c>
      <c r="E6" s="8" t="s">
        <v>422</v>
      </c>
      <c r="F6" s="8" t="s">
        <v>306</v>
      </c>
      <c r="G6" s="7" t="s">
        <v>167</v>
      </c>
      <c r="H6" s="7" t="s">
        <v>488</v>
      </c>
      <c r="I6" s="9" t="s">
        <v>120</v>
      </c>
      <c r="J6" s="9"/>
      <c r="K6" s="6" t="str">
        <f>"182,5"</f>
        <v>182,5</v>
      </c>
      <c r="L6" s="7" t="str">
        <f>"106,7260"</f>
        <v>106,7260</v>
      </c>
      <c r="M6" s="8" t="s">
        <v>34</v>
      </c>
    </row>
    <row r="8" spans="1:13" ht="15" x14ac:dyDescent="0.2">
      <c r="E8" s="10" t="s">
        <v>760</v>
      </c>
    </row>
    <row r="9" spans="1:13" ht="15" x14ac:dyDescent="0.2">
      <c r="E9" s="10" t="s">
        <v>761</v>
      </c>
    </row>
    <row r="10" spans="1:13" ht="15" x14ac:dyDescent="0.2">
      <c r="E10" s="10" t="s">
        <v>762</v>
      </c>
    </row>
    <row r="11" spans="1:13" ht="15" x14ac:dyDescent="0.2">
      <c r="E11" s="10" t="s">
        <v>763</v>
      </c>
    </row>
    <row r="12" spans="1:13" ht="15" x14ac:dyDescent="0.2">
      <c r="E12" s="10" t="s">
        <v>765</v>
      </c>
    </row>
    <row r="13" spans="1:13" ht="15" x14ac:dyDescent="0.2">
      <c r="E13" s="10" t="s">
        <v>764</v>
      </c>
    </row>
    <row r="14" spans="1:13" ht="15" x14ac:dyDescent="0.2">
      <c r="E14" s="10"/>
    </row>
    <row r="16" spans="1:13" ht="18" x14ac:dyDescent="0.25">
      <c r="A16" s="11" t="s">
        <v>44</v>
      </c>
      <c r="B16" s="12"/>
    </row>
    <row r="17" spans="1:5" ht="15" x14ac:dyDescent="0.2">
      <c r="A17" s="13" t="s">
        <v>45</v>
      </c>
      <c r="B17" s="14"/>
    </row>
    <row r="18" spans="1:5" ht="14.25" x14ac:dyDescent="0.2">
      <c r="A18" s="16"/>
      <c r="B18" s="17" t="s">
        <v>46</v>
      </c>
    </row>
    <row r="19" spans="1:5" ht="15" x14ac:dyDescent="0.2">
      <c r="A19" s="18" t="s">
        <v>47</v>
      </c>
      <c r="B19" s="18" t="s">
        <v>48</v>
      </c>
      <c r="C19" s="18" t="s">
        <v>49</v>
      </c>
      <c r="D19" s="18" t="s">
        <v>50</v>
      </c>
      <c r="E19" s="18" t="s">
        <v>51</v>
      </c>
    </row>
    <row r="20" spans="1:5" x14ac:dyDescent="0.2">
      <c r="A20" s="15" t="s">
        <v>484</v>
      </c>
      <c r="B20" s="1" t="s">
        <v>46</v>
      </c>
      <c r="C20" s="1" t="s">
        <v>87</v>
      </c>
      <c r="D20" s="1" t="s">
        <v>488</v>
      </c>
      <c r="E20" s="4" t="s">
        <v>489</v>
      </c>
    </row>
  </sheetData>
  <mergeCells count="12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B3D71-A4AF-43B5-9A9E-A989DDAA3996}">
  <dimension ref="A1:M133"/>
  <sheetViews>
    <sheetView topLeftCell="A65" workbookViewId="0">
      <selection activeCell="E68" sqref="E68:F73"/>
    </sheetView>
  </sheetViews>
  <sheetFormatPr defaultRowHeight="12.75" x14ac:dyDescent="0.2"/>
  <cols>
    <col min="1" max="1" width="28.28515625" style="4" bestFit="1" customWidth="1"/>
    <col min="2" max="2" width="29" style="1" bestFit="1" customWidth="1"/>
    <col min="3" max="3" width="10.5703125" style="1" bestFit="1" customWidth="1"/>
    <col min="4" max="4" width="8.42578125" style="1" bestFit="1" customWidth="1"/>
    <col min="5" max="5" width="22.7109375" style="5" bestFit="1" customWidth="1"/>
    <col min="6" max="6" width="31.7109375" style="5" bestFit="1" customWidth="1"/>
    <col min="7" max="9" width="5.5703125" style="1" bestFit="1" customWidth="1"/>
    <col min="10" max="10" width="2.140625" style="1" bestFit="1" customWidth="1"/>
    <col min="11" max="11" width="11.28515625" style="4" bestFit="1" customWidth="1"/>
    <col min="12" max="12" width="8.5703125" style="1" bestFit="1" customWidth="1"/>
    <col min="13" max="13" width="18.140625" style="5" bestFit="1" customWidth="1"/>
    <col min="14" max="16384" width="9.140625" style="1"/>
  </cols>
  <sheetData>
    <row r="1" spans="1:13" ht="29.1" customHeight="1" x14ac:dyDescent="0.2">
      <c r="A1" s="44" t="s">
        <v>248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2" customFormat="1" ht="12.75" customHeight="1" x14ac:dyDescent="0.2">
      <c r="A3" s="50" t="s">
        <v>0</v>
      </c>
      <c r="B3" s="52" t="s">
        <v>14</v>
      </c>
      <c r="C3" s="52" t="s">
        <v>15</v>
      </c>
      <c r="D3" s="54" t="s">
        <v>18</v>
      </c>
      <c r="E3" s="54" t="s">
        <v>3</v>
      </c>
      <c r="F3" s="54" t="s">
        <v>16</v>
      </c>
      <c r="G3" s="56"/>
      <c r="H3" s="56"/>
      <c r="I3" s="56"/>
      <c r="J3" s="56"/>
      <c r="K3" s="58" t="s">
        <v>13</v>
      </c>
      <c r="L3" s="54" t="s">
        <v>2</v>
      </c>
      <c r="M3" s="38" t="s">
        <v>1</v>
      </c>
    </row>
    <row r="4" spans="1:13" s="2" customFormat="1" ht="21" customHeight="1" thickBot="1" x14ac:dyDescent="0.25">
      <c r="A4" s="51"/>
      <c r="B4" s="53"/>
      <c r="C4" s="53"/>
      <c r="D4" s="53"/>
      <c r="E4" s="53"/>
      <c r="F4" s="53"/>
      <c r="G4" s="3" t="s">
        <v>5</v>
      </c>
      <c r="H4" s="3" t="s">
        <v>6</v>
      </c>
      <c r="I4" s="3" t="s">
        <v>7</v>
      </c>
      <c r="J4" s="3" t="s">
        <v>8</v>
      </c>
      <c r="K4" s="59"/>
      <c r="L4" s="53"/>
      <c r="M4" s="39"/>
    </row>
    <row r="5" spans="1:13" ht="15" x14ac:dyDescent="0.2">
      <c r="A5" s="40" t="s">
        <v>249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3" x14ac:dyDescent="0.2">
      <c r="A6" s="6" t="s">
        <v>251</v>
      </c>
      <c r="B6" s="7" t="s">
        <v>252</v>
      </c>
      <c r="C6" s="7" t="s">
        <v>253</v>
      </c>
      <c r="D6" s="7" t="str">
        <f>"1,2704"</f>
        <v>1,2704</v>
      </c>
      <c r="E6" s="8" t="s">
        <v>40</v>
      </c>
      <c r="F6" s="8" t="s">
        <v>41</v>
      </c>
      <c r="G6" s="7" t="s">
        <v>147</v>
      </c>
      <c r="H6" s="9" t="s">
        <v>254</v>
      </c>
      <c r="I6" s="7" t="s">
        <v>254</v>
      </c>
      <c r="J6" s="9"/>
      <c r="K6" s="6" t="str">
        <f>"45,0"</f>
        <v>45,0</v>
      </c>
      <c r="L6" s="7" t="str">
        <f>"57,1680"</f>
        <v>57,1680</v>
      </c>
      <c r="M6" s="8" t="s">
        <v>255</v>
      </c>
    </row>
    <row r="8" spans="1:13" ht="15" x14ac:dyDescent="0.2">
      <c r="A8" s="42" t="s">
        <v>256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3" x14ac:dyDescent="0.2">
      <c r="A9" s="6" t="s">
        <v>258</v>
      </c>
      <c r="B9" s="7" t="s">
        <v>259</v>
      </c>
      <c r="C9" s="7" t="s">
        <v>260</v>
      </c>
      <c r="D9" s="7" t="str">
        <f>"1,1076"</f>
        <v>1,1076</v>
      </c>
      <c r="E9" s="8" t="s">
        <v>40</v>
      </c>
      <c r="F9" s="8" t="s">
        <v>41</v>
      </c>
      <c r="G9" s="7" t="s">
        <v>261</v>
      </c>
      <c r="H9" s="7" t="s">
        <v>262</v>
      </c>
      <c r="I9" s="9" t="s">
        <v>237</v>
      </c>
      <c r="J9" s="9"/>
      <c r="K9" s="6" t="str">
        <f>"57,5"</f>
        <v>57,5</v>
      </c>
      <c r="L9" s="7" t="str">
        <f>"63,6870"</f>
        <v>63,6870</v>
      </c>
      <c r="M9" s="8" t="s">
        <v>88</v>
      </c>
    </row>
    <row r="11" spans="1:13" ht="15" x14ac:dyDescent="0.2">
      <c r="A11" s="42" t="s">
        <v>136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1:13" x14ac:dyDescent="0.2">
      <c r="A12" s="6" t="s">
        <v>264</v>
      </c>
      <c r="B12" s="7" t="s">
        <v>265</v>
      </c>
      <c r="C12" s="7" t="s">
        <v>266</v>
      </c>
      <c r="D12" s="7" t="str">
        <f>"1,0606"</f>
        <v>1,0606</v>
      </c>
      <c r="E12" s="8" t="s">
        <v>25</v>
      </c>
      <c r="F12" s="8" t="s">
        <v>26</v>
      </c>
      <c r="G12" s="7" t="s">
        <v>142</v>
      </c>
      <c r="H12" s="7" t="s">
        <v>262</v>
      </c>
      <c r="I12" s="7" t="s">
        <v>267</v>
      </c>
      <c r="J12" s="9"/>
      <c r="K12" s="6" t="str">
        <f>"62,5"</f>
        <v>62,5</v>
      </c>
      <c r="L12" s="7" t="str">
        <f>"66,2875"</f>
        <v>66,2875</v>
      </c>
      <c r="M12" s="8" t="s">
        <v>34</v>
      </c>
    </row>
    <row r="14" spans="1:13" ht="15" x14ac:dyDescent="0.2">
      <c r="A14" s="42" t="s">
        <v>268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13" x14ac:dyDescent="0.2">
      <c r="A15" s="6" t="s">
        <v>270</v>
      </c>
      <c r="B15" s="7" t="s">
        <v>271</v>
      </c>
      <c r="C15" s="7" t="s">
        <v>272</v>
      </c>
      <c r="D15" s="7" t="str">
        <f>"1,0292"</f>
        <v>1,0292</v>
      </c>
      <c r="E15" s="8" t="s">
        <v>40</v>
      </c>
      <c r="F15" s="8" t="s">
        <v>41</v>
      </c>
      <c r="G15" s="7" t="s">
        <v>262</v>
      </c>
      <c r="H15" s="7" t="s">
        <v>273</v>
      </c>
      <c r="I15" s="9" t="s">
        <v>144</v>
      </c>
      <c r="J15" s="9"/>
      <c r="K15" s="6" t="str">
        <f>"67,5"</f>
        <v>67,5</v>
      </c>
      <c r="L15" s="7" t="str">
        <f>"77,3212"</f>
        <v>77,3212</v>
      </c>
      <c r="M15" s="8" t="s">
        <v>274</v>
      </c>
    </row>
    <row r="17" spans="1:13" ht="15" x14ac:dyDescent="0.2">
      <c r="A17" s="42" t="s">
        <v>268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3" x14ac:dyDescent="0.2">
      <c r="A18" s="6" t="s">
        <v>275</v>
      </c>
      <c r="B18" s="7" t="s">
        <v>276</v>
      </c>
      <c r="C18" s="7" t="s">
        <v>277</v>
      </c>
      <c r="D18" s="7" t="str">
        <f>"0,8480"</f>
        <v>0,8480</v>
      </c>
      <c r="E18" s="8" t="s">
        <v>40</v>
      </c>
      <c r="F18" s="8" t="s">
        <v>278</v>
      </c>
      <c r="G18" s="9" t="s">
        <v>187</v>
      </c>
      <c r="H18" s="9" t="s">
        <v>187</v>
      </c>
      <c r="I18" s="9" t="s">
        <v>187</v>
      </c>
      <c r="J18" s="9"/>
      <c r="K18" s="6" t="str">
        <f>"0.00"</f>
        <v>0.00</v>
      </c>
      <c r="L18" s="7" t="str">
        <f>"0,0000"</f>
        <v>0,0000</v>
      </c>
      <c r="M18" s="8" t="s">
        <v>279</v>
      </c>
    </row>
    <row r="20" spans="1:13" ht="15" x14ac:dyDescent="0.2">
      <c r="A20" s="42" t="s">
        <v>280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</row>
    <row r="21" spans="1:13" x14ac:dyDescent="0.2">
      <c r="A21" s="19" t="s">
        <v>282</v>
      </c>
      <c r="B21" s="20" t="s">
        <v>283</v>
      </c>
      <c r="C21" s="20" t="s">
        <v>284</v>
      </c>
      <c r="D21" s="20" t="str">
        <f>"0,8012"</f>
        <v>0,8012</v>
      </c>
      <c r="E21" s="21" t="s">
        <v>40</v>
      </c>
      <c r="F21" s="21" t="s">
        <v>285</v>
      </c>
      <c r="G21" s="20" t="s">
        <v>87</v>
      </c>
      <c r="H21" s="20" t="s">
        <v>286</v>
      </c>
      <c r="I21" s="22" t="s">
        <v>109</v>
      </c>
      <c r="J21" s="22"/>
      <c r="K21" s="19" t="str">
        <f>"107,5"</f>
        <v>107,5</v>
      </c>
      <c r="L21" s="20" t="str">
        <f>"86,1344"</f>
        <v>86,1344</v>
      </c>
      <c r="M21" s="21" t="s">
        <v>287</v>
      </c>
    </row>
    <row r="22" spans="1:13" x14ac:dyDescent="0.2">
      <c r="A22" s="27" t="s">
        <v>289</v>
      </c>
      <c r="B22" s="28" t="s">
        <v>290</v>
      </c>
      <c r="C22" s="28" t="s">
        <v>291</v>
      </c>
      <c r="D22" s="28" t="str">
        <f>"0,7541"</f>
        <v>0,7541</v>
      </c>
      <c r="E22" s="29" t="s">
        <v>40</v>
      </c>
      <c r="F22" s="29" t="s">
        <v>41</v>
      </c>
      <c r="G22" s="30" t="s">
        <v>85</v>
      </c>
      <c r="H22" s="28" t="s">
        <v>85</v>
      </c>
      <c r="I22" s="28" t="s">
        <v>87</v>
      </c>
      <c r="J22" s="30"/>
      <c r="K22" s="27" t="str">
        <f>"100,0"</f>
        <v>100,0</v>
      </c>
      <c r="L22" s="28" t="str">
        <f>"75,4150"</f>
        <v>75,4150</v>
      </c>
      <c r="M22" s="29" t="s">
        <v>34</v>
      </c>
    </row>
    <row r="23" spans="1:13" x14ac:dyDescent="0.2">
      <c r="A23" s="27" t="s">
        <v>293</v>
      </c>
      <c r="B23" s="28" t="s">
        <v>294</v>
      </c>
      <c r="C23" s="28" t="s">
        <v>295</v>
      </c>
      <c r="D23" s="28" t="str">
        <f>"0,7640"</f>
        <v>0,7640</v>
      </c>
      <c r="E23" s="29" t="s">
        <v>40</v>
      </c>
      <c r="F23" s="29" t="s">
        <v>296</v>
      </c>
      <c r="G23" s="28" t="s">
        <v>237</v>
      </c>
      <c r="H23" s="28" t="s">
        <v>148</v>
      </c>
      <c r="I23" s="28" t="s">
        <v>297</v>
      </c>
      <c r="J23" s="30"/>
      <c r="K23" s="27" t="str">
        <f>"80,0"</f>
        <v>80,0</v>
      </c>
      <c r="L23" s="28" t="str">
        <f>"61,1200"</f>
        <v>61,1200</v>
      </c>
      <c r="M23" s="29" t="s">
        <v>34</v>
      </c>
    </row>
    <row r="24" spans="1:13" x14ac:dyDescent="0.2">
      <c r="A24" s="27" t="s">
        <v>299</v>
      </c>
      <c r="B24" s="28" t="s">
        <v>300</v>
      </c>
      <c r="C24" s="28" t="s">
        <v>301</v>
      </c>
      <c r="D24" s="28" t="str">
        <f>"0,7942"</f>
        <v>0,7942</v>
      </c>
      <c r="E24" s="29" t="s">
        <v>40</v>
      </c>
      <c r="F24" s="29" t="s">
        <v>285</v>
      </c>
      <c r="G24" s="28" t="s">
        <v>144</v>
      </c>
      <c r="H24" s="28" t="s">
        <v>54</v>
      </c>
      <c r="I24" s="30" t="s">
        <v>194</v>
      </c>
      <c r="J24" s="30"/>
      <c r="K24" s="27" t="str">
        <f>"75,0"</f>
        <v>75,0</v>
      </c>
      <c r="L24" s="28" t="str">
        <f>"59,5650"</f>
        <v>59,5650</v>
      </c>
      <c r="M24" s="29" t="s">
        <v>302</v>
      </c>
    </row>
    <row r="25" spans="1:13" x14ac:dyDescent="0.2">
      <c r="A25" s="27" t="s">
        <v>304</v>
      </c>
      <c r="B25" s="28" t="s">
        <v>305</v>
      </c>
      <c r="C25" s="28" t="s">
        <v>291</v>
      </c>
      <c r="D25" s="28" t="str">
        <f>"0,7541"</f>
        <v>0,7541</v>
      </c>
      <c r="E25" s="29" t="s">
        <v>40</v>
      </c>
      <c r="F25" s="29" t="s">
        <v>306</v>
      </c>
      <c r="G25" s="28" t="s">
        <v>109</v>
      </c>
      <c r="H25" s="30" t="s">
        <v>78</v>
      </c>
      <c r="I25" s="30" t="s">
        <v>78</v>
      </c>
      <c r="J25" s="30"/>
      <c r="K25" s="27" t="str">
        <f>"115,0"</f>
        <v>115,0</v>
      </c>
      <c r="L25" s="28" t="str">
        <f>"86,7272"</f>
        <v>86,7272</v>
      </c>
      <c r="M25" s="29" t="s">
        <v>34</v>
      </c>
    </row>
    <row r="26" spans="1:13" x14ac:dyDescent="0.2">
      <c r="A26" s="23" t="s">
        <v>308</v>
      </c>
      <c r="B26" s="24" t="s">
        <v>309</v>
      </c>
      <c r="C26" s="24" t="s">
        <v>310</v>
      </c>
      <c r="D26" s="24" t="str">
        <f>"0,7561"</f>
        <v>0,7561</v>
      </c>
      <c r="E26" s="25" t="s">
        <v>40</v>
      </c>
      <c r="F26" s="25" t="s">
        <v>41</v>
      </c>
      <c r="G26" s="24" t="s">
        <v>158</v>
      </c>
      <c r="H26" s="24" t="s">
        <v>86</v>
      </c>
      <c r="I26" s="26" t="s">
        <v>286</v>
      </c>
      <c r="J26" s="26"/>
      <c r="K26" s="23" t="str">
        <f>"95,0"</f>
        <v>95,0</v>
      </c>
      <c r="L26" s="24" t="str">
        <f>"71,8295"</f>
        <v>71,8295</v>
      </c>
      <c r="M26" s="25" t="s">
        <v>34</v>
      </c>
    </row>
    <row r="28" spans="1:13" ht="15" x14ac:dyDescent="0.2">
      <c r="A28" s="42" t="s">
        <v>20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</row>
    <row r="29" spans="1:13" x14ac:dyDescent="0.2">
      <c r="A29" s="19" t="s">
        <v>312</v>
      </c>
      <c r="B29" s="20" t="s">
        <v>313</v>
      </c>
      <c r="C29" s="20" t="s">
        <v>314</v>
      </c>
      <c r="D29" s="20" t="str">
        <f>"0,6892"</f>
        <v>0,6892</v>
      </c>
      <c r="E29" s="21" t="s">
        <v>178</v>
      </c>
      <c r="F29" s="21" t="s">
        <v>41</v>
      </c>
      <c r="G29" s="22" t="s">
        <v>315</v>
      </c>
      <c r="H29" s="20" t="s">
        <v>193</v>
      </c>
      <c r="I29" s="22" t="s">
        <v>166</v>
      </c>
      <c r="J29" s="22"/>
      <c r="K29" s="19" t="str">
        <f>"135,0"</f>
        <v>135,0</v>
      </c>
      <c r="L29" s="20" t="str">
        <f>"93,0420"</f>
        <v>93,0420</v>
      </c>
      <c r="M29" s="21" t="s">
        <v>34</v>
      </c>
    </row>
    <row r="30" spans="1:13" x14ac:dyDescent="0.2">
      <c r="A30" s="27" t="s">
        <v>317</v>
      </c>
      <c r="B30" s="28" t="s">
        <v>318</v>
      </c>
      <c r="C30" s="28" t="s">
        <v>155</v>
      </c>
      <c r="D30" s="28" t="str">
        <f>"0,6947"</f>
        <v>0,6947</v>
      </c>
      <c r="E30" s="29" t="s">
        <v>40</v>
      </c>
      <c r="F30" s="29" t="s">
        <v>41</v>
      </c>
      <c r="G30" s="28" t="s">
        <v>187</v>
      </c>
      <c r="H30" s="30" t="s">
        <v>315</v>
      </c>
      <c r="I30" s="30" t="s">
        <v>160</v>
      </c>
      <c r="J30" s="30"/>
      <c r="K30" s="27" t="str">
        <f>"122,5"</f>
        <v>122,5</v>
      </c>
      <c r="L30" s="28" t="str">
        <f>"85,1008"</f>
        <v>85,1008</v>
      </c>
      <c r="M30" s="29" t="s">
        <v>34</v>
      </c>
    </row>
    <row r="31" spans="1:13" x14ac:dyDescent="0.2">
      <c r="A31" s="27" t="s">
        <v>320</v>
      </c>
      <c r="B31" s="28" t="s">
        <v>321</v>
      </c>
      <c r="C31" s="28" t="s">
        <v>322</v>
      </c>
      <c r="D31" s="28" t="str">
        <f>"0,6955"</f>
        <v>0,6955</v>
      </c>
      <c r="E31" s="29" t="s">
        <v>25</v>
      </c>
      <c r="F31" s="29" t="s">
        <v>26</v>
      </c>
      <c r="G31" s="30" t="s">
        <v>29</v>
      </c>
      <c r="H31" s="30" t="s">
        <v>29</v>
      </c>
      <c r="I31" s="28" t="s">
        <v>29</v>
      </c>
      <c r="J31" s="30"/>
      <c r="K31" s="27" t="str">
        <f>"105,0"</f>
        <v>105,0</v>
      </c>
      <c r="L31" s="28" t="str">
        <f>"73,0223"</f>
        <v>73,0223</v>
      </c>
      <c r="M31" s="29" t="s">
        <v>34</v>
      </c>
    </row>
    <row r="32" spans="1:13" x14ac:dyDescent="0.2">
      <c r="A32" s="27" t="s">
        <v>323</v>
      </c>
      <c r="B32" s="28" t="s">
        <v>324</v>
      </c>
      <c r="C32" s="28" t="s">
        <v>325</v>
      </c>
      <c r="D32" s="28" t="str">
        <f>"0,7012"</f>
        <v>0,7012</v>
      </c>
      <c r="E32" s="29" t="s">
        <v>178</v>
      </c>
      <c r="F32" s="29" t="s">
        <v>41</v>
      </c>
      <c r="G32" s="30" t="s">
        <v>173</v>
      </c>
      <c r="H32" s="30" t="s">
        <v>315</v>
      </c>
      <c r="I32" s="30" t="s">
        <v>315</v>
      </c>
      <c r="J32" s="30"/>
      <c r="K32" s="27" t="str">
        <f>"0.00"</f>
        <v>0.00</v>
      </c>
      <c r="L32" s="28" t="str">
        <f>"0,0000"</f>
        <v>0,0000</v>
      </c>
      <c r="M32" s="29" t="s">
        <v>34</v>
      </c>
    </row>
    <row r="33" spans="1:13" x14ac:dyDescent="0.2">
      <c r="A33" s="23" t="s">
        <v>327</v>
      </c>
      <c r="B33" s="24" t="s">
        <v>328</v>
      </c>
      <c r="C33" s="24" t="s">
        <v>329</v>
      </c>
      <c r="D33" s="24" t="str">
        <f>"0,6969"</f>
        <v>0,6969</v>
      </c>
      <c r="E33" s="25" t="s">
        <v>40</v>
      </c>
      <c r="F33" s="25" t="s">
        <v>41</v>
      </c>
      <c r="G33" s="24" t="s">
        <v>87</v>
      </c>
      <c r="H33" s="26" t="s">
        <v>30</v>
      </c>
      <c r="I33" s="26" t="s">
        <v>30</v>
      </c>
      <c r="J33" s="26"/>
      <c r="K33" s="23" t="str">
        <f>"100,0"</f>
        <v>100,0</v>
      </c>
      <c r="L33" s="24" t="str">
        <f>"69,6850"</f>
        <v>69,6850</v>
      </c>
      <c r="M33" s="25" t="s">
        <v>330</v>
      </c>
    </row>
    <row r="35" spans="1:13" ht="15" x14ac:dyDescent="0.2">
      <c r="A35" s="42" t="s">
        <v>161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</row>
    <row r="36" spans="1:13" x14ac:dyDescent="0.2">
      <c r="A36" s="19" t="s">
        <v>332</v>
      </c>
      <c r="B36" s="20" t="s">
        <v>333</v>
      </c>
      <c r="C36" s="20" t="s">
        <v>334</v>
      </c>
      <c r="D36" s="20" t="str">
        <f>"0,6503"</f>
        <v>0,6503</v>
      </c>
      <c r="E36" s="21" t="s">
        <v>40</v>
      </c>
      <c r="F36" s="21" t="s">
        <v>41</v>
      </c>
      <c r="G36" s="22" t="s">
        <v>160</v>
      </c>
      <c r="H36" s="20" t="s">
        <v>115</v>
      </c>
      <c r="I36" s="22" t="s">
        <v>180</v>
      </c>
      <c r="J36" s="22"/>
      <c r="K36" s="19" t="str">
        <f>"145,0"</f>
        <v>145,0</v>
      </c>
      <c r="L36" s="20" t="str">
        <f>"94,2863"</f>
        <v>94,2863</v>
      </c>
      <c r="M36" s="21" t="s">
        <v>34</v>
      </c>
    </row>
    <row r="37" spans="1:13" x14ac:dyDescent="0.2">
      <c r="A37" s="23" t="s">
        <v>336</v>
      </c>
      <c r="B37" s="24" t="s">
        <v>337</v>
      </c>
      <c r="C37" s="24" t="s">
        <v>338</v>
      </c>
      <c r="D37" s="24" t="str">
        <f>"0,6508"</f>
        <v>0,6508</v>
      </c>
      <c r="E37" s="25" t="s">
        <v>178</v>
      </c>
      <c r="F37" s="25" t="s">
        <v>41</v>
      </c>
      <c r="G37" s="24" t="s">
        <v>160</v>
      </c>
      <c r="H37" s="24" t="s">
        <v>166</v>
      </c>
      <c r="I37" s="26" t="s">
        <v>115</v>
      </c>
      <c r="J37" s="26"/>
      <c r="K37" s="23" t="str">
        <f>"137,5"</f>
        <v>137,5</v>
      </c>
      <c r="L37" s="24" t="str">
        <f>"89,4850"</f>
        <v>89,4850</v>
      </c>
      <c r="M37" s="25" t="s">
        <v>34</v>
      </c>
    </row>
    <row r="39" spans="1:13" ht="15" x14ac:dyDescent="0.2">
      <c r="A39" s="42" t="s">
        <v>95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</row>
    <row r="40" spans="1:13" x14ac:dyDescent="0.2">
      <c r="A40" s="19" t="s">
        <v>340</v>
      </c>
      <c r="B40" s="20" t="s">
        <v>341</v>
      </c>
      <c r="C40" s="20" t="s">
        <v>342</v>
      </c>
      <c r="D40" s="20" t="str">
        <f>"0,6234"</f>
        <v>0,6234</v>
      </c>
      <c r="E40" s="21" t="s">
        <v>40</v>
      </c>
      <c r="F40" s="21" t="s">
        <v>343</v>
      </c>
      <c r="G40" s="20" t="s">
        <v>30</v>
      </c>
      <c r="H40" s="22" t="s">
        <v>109</v>
      </c>
      <c r="I40" s="20" t="s">
        <v>157</v>
      </c>
      <c r="J40" s="22"/>
      <c r="K40" s="19" t="str">
        <f>"117,5"</f>
        <v>117,5</v>
      </c>
      <c r="L40" s="20" t="str">
        <f>"73,2495"</f>
        <v>73,2495</v>
      </c>
      <c r="M40" s="21" t="s">
        <v>344</v>
      </c>
    </row>
    <row r="41" spans="1:13" x14ac:dyDescent="0.2">
      <c r="A41" s="27" t="s">
        <v>346</v>
      </c>
      <c r="B41" s="28" t="s">
        <v>347</v>
      </c>
      <c r="C41" s="28" t="s">
        <v>348</v>
      </c>
      <c r="D41" s="28" t="str">
        <f>"0,6133"</f>
        <v>0,6133</v>
      </c>
      <c r="E41" s="29" t="s">
        <v>40</v>
      </c>
      <c r="F41" s="29" t="s">
        <v>349</v>
      </c>
      <c r="G41" s="28" t="s">
        <v>115</v>
      </c>
      <c r="H41" s="28" t="s">
        <v>31</v>
      </c>
      <c r="I41" s="30" t="s">
        <v>32</v>
      </c>
      <c r="J41" s="30"/>
      <c r="K41" s="27" t="str">
        <f>"152,5"</f>
        <v>152,5</v>
      </c>
      <c r="L41" s="28" t="str">
        <f>"93,5359"</f>
        <v>93,5359</v>
      </c>
      <c r="M41" s="29" t="s">
        <v>34</v>
      </c>
    </row>
    <row r="42" spans="1:13" x14ac:dyDescent="0.2">
      <c r="A42" s="27" t="s">
        <v>351</v>
      </c>
      <c r="B42" s="28" t="s">
        <v>352</v>
      </c>
      <c r="C42" s="28" t="s">
        <v>348</v>
      </c>
      <c r="D42" s="28" t="str">
        <f>"0,6133"</f>
        <v>0,6133</v>
      </c>
      <c r="E42" s="29" t="s">
        <v>40</v>
      </c>
      <c r="F42" s="29" t="s">
        <v>41</v>
      </c>
      <c r="G42" s="28" t="s">
        <v>78</v>
      </c>
      <c r="H42" s="30" t="s">
        <v>353</v>
      </c>
      <c r="I42" s="28" t="s">
        <v>353</v>
      </c>
      <c r="J42" s="30"/>
      <c r="K42" s="27" t="str">
        <f>"132,5"</f>
        <v>132,5</v>
      </c>
      <c r="L42" s="28" t="str">
        <f>"81,2689"</f>
        <v>81,2689</v>
      </c>
      <c r="M42" s="29" t="s">
        <v>34</v>
      </c>
    </row>
    <row r="43" spans="1:13" x14ac:dyDescent="0.2">
      <c r="A43" s="27" t="s">
        <v>355</v>
      </c>
      <c r="B43" s="28" t="s">
        <v>356</v>
      </c>
      <c r="C43" s="28" t="s">
        <v>357</v>
      </c>
      <c r="D43" s="28" t="str">
        <f>"0,6192"</f>
        <v>0,6192</v>
      </c>
      <c r="E43" s="29" t="s">
        <v>40</v>
      </c>
      <c r="F43" s="29" t="s">
        <v>41</v>
      </c>
      <c r="G43" s="28" t="s">
        <v>29</v>
      </c>
      <c r="H43" s="28" t="s">
        <v>157</v>
      </c>
      <c r="I43" s="30" t="s">
        <v>353</v>
      </c>
      <c r="J43" s="30"/>
      <c r="K43" s="27" t="str">
        <f>"117,5"</f>
        <v>117,5</v>
      </c>
      <c r="L43" s="28" t="str">
        <f>"72,7619"</f>
        <v>72,7619</v>
      </c>
      <c r="M43" s="29" t="s">
        <v>34</v>
      </c>
    </row>
    <row r="44" spans="1:13" x14ac:dyDescent="0.2">
      <c r="A44" s="23" t="s">
        <v>359</v>
      </c>
      <c r="B44" s="24" t="s">
        <v>360</v>
      </c>
      <c r="C44" s="24" t="s">
        <v>361</v>
      </c>
      <c r="D44" s="24" t="str">
        <f>"0,6188"</f>
        <v>0,6188</v>
      </c>
      <c r="E44" s="25" t="s">
        <v>362</v>
      </c>
      <c r="F44" s="25" t="s">
        <v>363</v>
      </c>
      <c r="G44" s="24" t="s">
        <v>115</v>
      </c>
      <c r="H44" s="24" t="s">
        <v>93</v>
      </c>
      <c r="I44" s="26" t="s">
        <v>32</v>
      </c>
      <c r="J44" s="26"/>
      <c r="K44" s="23" t="str">
        <f>"155,0"</f>
        <v>155,0</v>
      </c>
      <c r="L44" s="24" t="str">
        <f>"103,7873"</f>
        <v>103,7873</v>
      </c>
      <c r="M44" s="25" t="s">
        <v>364</v>
      </c>
    </row>
    <row r="46" spans="1:13" ht="15" x14ac:dyDescent="0.2">
      <c r="A46" s="42" t="s">
        <v>58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</row>
    <row r="47" spans="1:13" x14ac:dyDescent="0.2">
      <c r="A47" s="19" t="s">
        <v>366</v>
      </c>
      <c r="B47" s="20" t="s">
        <v>367</v>
      </c>
      <c r="C47" s="20" t="s">
        <v>368</v>
      </c>
      <c r="D47" s="20" t="str">
        <f>"0,5843"</f>
        <v>0,5843</v>
      </c>
      <c r="E47" s="21" t="s">
        <v>40</v>
      </c>
      <c r="F47" s="21" t="s">
        <v>41</v>
      </c>
      <c r="G47" s="20" t="s">
        <v>115</v>
      </c>
      <c r="H47" s="20" t="s">
        <v>28</v>
      </c>
      <c r="I47" s="22" t="s">
        <v>31</v>
      </c>
      <c r="J47" s="22"/>
      <c r="K47" s="19" t="str">
        <f>"150,0"</f>
        <v>150,0</v>
      </c>
      <c r="L47" s="20" t="str">
        <f>"87,6450"</f>
        <v>87,6450</v>
      </c>
      <c r="M47" s="21" t="s">
        <v>369</v>
      </c>
    </row>
    <row r="48" spans="1:13" x14ac:dyDescent="0.2">
      <c r="A48" s="27" t="s">
        <v>371</v>
      </c>
      <c r="B48" s="28" t="s">
        <v>372</v>
      </c>
      <c r="C48" s="28" t="s">
        <v>373</v>
      </c>
      <c r="D48" s="28" t="str">
        <f>"0,5900"</f>
        <v>0,5900</v>
      </c>
      <c r="E48" s="29" t="s">
        <v>40</v>
      </c>
      <c r="F48" s="29" t="s">
        <v>41</v>
      </c>
      <c r="G48" s="28" t="s">
        <v>193</v>
      </c>
      <c r="H48" s="28" t="s">
        <v>166</v>
      </c>
      <c r="I48" s="28" t="s">
        <v>27</v>
      </c>
      <c r="J48" s="30"/>
      <c r="K48" s="27" t="str">
        <f>"140,0"</f>
        <v>140,0</v>
      </c>
      <c r="L48" s="28" t="str">
        <f>"82,5930"</f>
        <v>82,5930</v>
      </c>
      <c r="M48" s="29" t="s">
        <v>34</v>
      </c>
    </row>
    <row r="49" spans="1:13" x14ac:dyDescent="0.2">
      <c r="A49" s="27" t="s">
        <v>375</v>
      </c>
      <c r="B49" s="28" t="s">
        <v>376</v>
      </c>
      <c r="C49" s="28" t="s">
        <v>377</v>
      </c>
      <c r="D49" s="28" t="str">
        <f>"0,5856"</f>
        <v>0,5856</v>
      </c>
      <c r="E49" s="29" t="s">
        <v>40</v>
      </c>
      <c r="F49" s="29" t="s">
        <v>378</v>
      </c>
      <c r="G49" s="28" t="s">
        <v>27</v>
      </c>
      <c r="H49" s="28" t="s">
        <v>115</v>
      </c>
      <c r="I49" s="28" t="s">
        <v>28</v>
      </c>
      <c r="J49" s="30"/>
      <c r="K49" s="27" t="str">
        <f>"150,0"</f>
        <v>150,0</v>
      </c>
      <c r="L49" s="28" t="str">
        <f>"89,5968"</f>
        <v>89,5968</v>
      </c>
      <c r="M49" s="29" t="s">
        <v>34</v>
      </c>
    </row>
    <row r="50" spans="1:13" x14ac:dyDescent="0.2">
      <c r="A50" s="27" t="s">
        <v>380</v>
      </c>
      <c r="B50" s="28" t="s">
        <v>381</v>
      </c>
      <c r="C50" s="28" t="s">
        <v>382</v>
      </c>
      <c r="D50" s="28" t="str">
        <f>"0,5885"</f>
        <v>0,5885</v>
      </c>
      <c r="E50" s="29" t="s">
        <v>40</v>
      </c>
      <c r="F50" s="29" t="s">
        <v>41</v>
      </c>
      <c r="G50" s="30" t="s">
        <v>27</v>
      </c>
      <c r="H50" s="30" t="s">
        <v>27</v>
      </c>
      <c r="I50" s="28" t="s">
        <v>27</v>
      </c>
      <c r="J50" s="30"/>
      <c r="K50" s="27" t="str">
        <f>"140,0"</f>
        <v>140,0</v>
      </c>
      <c r="L50" s="28" t="str">
        <f>"84,0449"</f>
        <v>84,0449</v>
      </c>
      <c r="M50" s="29" t="s">
        <v>34</v>
      </c>
    </row>
    <row r="51" spans="1:13" x14ac:dyDescent="0.2">
      <c r="A51" s="23" t="s">
        <v>384</v>
      </c>
      <c r="B51" s="24" t="s">
        <v>385</v>
      </c>
      <c r="C51" s="24" t="s">
        <v>386</v>
      </c>
      <c r="D51" s="24" t="str">
        <f>"0,5938"</f>
        <v>0,5938</v>
      </c>
      <c r="E51" s="25" t="s">
        <v>40</v>
      </c>
      <c r="F51" s="25" t="s">
        <v>41</v>
      </c>
      <c r="G51" s="24" t="s">
        <v>29</v>
      </c>
      <c r="H51" s="24" t="s">
        <v>30</v>
      </c>
      <c r="I51" s="24" t="s">
        <v>387</v>
      </c>
      <c r="J51" s="26"/>
      <c r="K51" s="23" t="str">
        <f>"112,5"</f>
        <v>112,5</v>
      </c>
      <c r="L51" s="24" t="str">
        <f>"76,6160"</f>
        <v>76,6160</v>
      </c>
      <c r="M51" s="25" t="s">
        <v>388</v>
      </c>
    </row>
    <row r="53" spans="1:13" ht="15" x14ac:dyDescent="0.2">
      <c r="A53" s="42" t="s">
        <v>35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3" x14ac:dyDescent="0.2">
      <c r="A54" s="19" t="s">
        <v>390</v>
      </c>
      <c r="B54" s="20" t="s">
        <v>391</v>
      </c>
      <c r="C54" s="20" t="s">
        <v>392</v>
      </c>
      <c r="D54" s="20" t="str">
        <f>"0,5710"</f>
        <v>0,5710</v>
      </c>
      <c r="E54" s="21" t="s">
        <v>40</v>
      </c>
      <c r="F54" s="21" t="s">
        <v>393</v>
      </c>
      <c r="G54" s="20" t="s">
        <v>32</v>
      </c>
      <c r="H54" s="20" t="s">
        <v>394</v>
      </c>
      <c r="I54" s="22" t="s">
        <v>167</v>
      </c>
      <c r="J54" s="22"/>
      <c r="K54" s="19" t="str">
        <f>"167,5"</f>
        <v>167,5</v>
      </c>
      <c r="L54" s="20" t="str">
        <f>"95,6509"</f>
        <v>95,6509</v>
      </c>
      <c r="M54" s="21" t="s">
        <v>34</v>
      </c>
    </row>
    <row r="55" spans="1:13" x14ac:dyDescent="0.2">
      <c r="A55" s="27" t="s">
        <v>396</v>
      </c>
      <c r="B55" s="28" t="s">
        <v>397</v>
      </c>
      <c r="C55" s="28" t="s">
        <v>398</v>
      </c>
      <c r="D55" s="28" t="str">
        <f>"0,5664"</f>
        <v>0,5664</v>
      </c>
      <c r="E55" s="29" t="s">
        <v>40</v>
      </c>
      <c r="F55" s="29" t="s">
        <v>399</v>
      </c>
      <c r="G55" s="28" t="s">
        <v>28</v>
      </c>
      <c r="H55" s="30" t="s">
        <v>32</v>
      </c>
      <c r="I55" s="30" t="s">
        <v>32</v>
      </c>
      <c r="J55" s="30"/>
      <c r="K55" s="27" t="str">
        <f>"150,0"</f>
        <v>150,0</v>
      </c>
      <c r="L55" s="28" t="str">
        <f>"84,9675"</f>
        <v>84,9675</v>
      </c>
      <c r="M55" s="29" t="s">
        <v>34</v>
      </c>
    </row>
    <row r="56" spans="1:13" x14ac:dyDescent="0.2">
      <c r="A56" s="27" t="s">
        <v>401</v>
      </c>
      <c r="B56" s="28" t="s">
        <v>402</v>
      </c>
      <c r="C56" s="28" t="s">
        <v>403</v>
      </c>
      <c r="D56" s="28" t="str">
        <f>"0,5671"</f>
        <v>0,5671</v>
      </c>
      <c r="E56" s="29" t="s">
        <v>40</v>
      </c>
      <c r="F56" s="29" t="s">
        <v>41</v>
      </c>
      <c r="G56" s="28" t="s">
        <v>180</v>
      </c>
      <c r="H56" s="30" t="s">
        <v>31</v>
      </c>
      <c r="I56" s="30" t="s">
        <v>93</v>
      </c>
      <c r="J56" s="30"/>
      <c r="K56" s="27" t="str">
        <f>"147,5"</f>
        <v>147,5</v>
      </c>
      <c r="L56" s="28" t="str">
        <f>"83,6472"</f>
        <v>83,6472</v>
      </c>
      <c r="M56" s="29" t="s">
        <v>34</v>
      </c>
    </row>
    <row r="57" spans="1:13" x14ac:dyDescent="0.2">
      <c r="A57" s="27" t="s">
        <v>405</v>
      </c>
      <c r="B57" s="28" t="s">
        <v>406</v>
      </c>
      <c r="C57" s="28" t="s">
        <v>407</v>
      </c>
      <c r="D57" s="28" t="str">
        <f>"0,5637"</f>
        <v>0,5637</v>
      </c>
      <c r="E57" s="29" t="s">
        <v>40</v>
      </c>
      <c r="F57" s="29" t="s">
        <v>393</v>
      </c>
      <c r="G57" s="28" t="s">
        <v>408</v>
      </c>
      <c r="H57" s="30" t="s">
        <v>180</v>
      </c>
      <c r="I57" s="30" t="s">
        <v>180</v>
      </c>
      <c r="J57" s="30"/>
      <c r="K57" s="27" t="str">
        <f>"142,5"</f>
        <v>142,5</v>
      </c>
      <c r="L57" s="28" t="str">
        <f>"80,3201"</f>
        <v>80,3201</v>
      </c>
      <c r="M57" s="29" t="s">
        <v>409</v>
      </c>
    </row>
    <row r="58" spans="1:13" x14ac:dyDescent="0.2">
      <c r="A58" s="27" t="s">
        <v>411</v>
      </c>
      <c r="B58" s="28" t="s">
        <v>412</v>
      </c>
      <c r="C58" s="28" t="s">
        <v>413</v>
      </c>
      <c r="D58" s="28" t="str">
        <f>"0,5687"</f>
        <v>0,5687</v>
      </c>
      <c r="E58" s="29" t="s">
        <v>40</v>
      </c>
      <c r="F58" s="29" t="s">
        <v>41</v>
      </c>
      <c r="G58" s="30" t="s">
        <v>93</v>
      </c>
      <c r="H58" s="28" t="s">
        <v>32</v>
      </c>
      <c r="I58" s="28" t="s">
        <v>394</v>
      </c>
      <c r="J58" s="30"/>
      <c r="K58" s="27" t="str">
        <f>"167,5"</f>
        <v>167,5</v>
      </c>
      <c r="L58" s="28" t="str">
        <f>"95,2489"</f>
        <v>95,2489</v>
      </c>
      <c r="M58" s="29" t="s">
        <v>34</v>
      </c>
    </row>
    <row r="59" spans="1:13" x14ac:dyDescent="0.2">
      <c r="A59" s="27" t="s">
        <v>415</v>
      </c>
      <c r="B59" s="28" t="s">
        <v>416</v>
      </c>
      <c r="C59" s="28" t="s">
        <v>417</v>
      </c>
      <c r="D59" s="28" t="str">
        <f>"0,5658"</f>
        <v>0,5658</v>
      </c>
      <c r="E59" s="29" t="s">
        <v>40</v>
      </c>
      <c r="F59" s="29" t="s">
        <v>41</v>
      </c>
      <c r="G59" s="30" t="s">
        <v>115</v>
      </c>
      <c r="H59" s="30" t="s">
        <v>28</v>
      </c>
      <c r="I59" s="28" t="s">
        <v>28</v>
      </c>
      <c r="J59" s="30"/>
      <c r="K59" s="27" t="str">
        <f>"150,0"</f>
        <v>150,0</v>
      </c>
      <c r="L59" s="28" t="str">
        <f>"85,7187"</f>
        <v>85,7187</v>
      </c>
      <c r="M59" s="29" t="s">
        <v>34</v>
      </c>
    </row>
    <row r="60" spans="1:13" x14ac:dyDescent="0.2">
      <c r="A60" s="23" t="s">
        <v>419</v>
      </c>
      <c r="B60" s="24" t="s">
        <v>420</v>
      </c>
      <c r="C60" s="24" t="s">
        <v>421</v>
      </c>
      <c r="D60" s="24" t="str">
        <f>"0,5656"</f>
        <v>0,5656</v>
      </c>
      <c r="E60" s="25" t="s">
        <v>422</v>
      </c>
      <c r="F60" s="25" t="s">
        <v>41</v>
      </c>
      <c r="G60" s="24" t="s">
        <v>160</v>
      </c>
      <c r="H60" s="24" t="s">
        <v>27</v>
      </c>
      <c r="I60" s="24" t="s">
        <v>180</v>
      </c>
      <c r="J60" s="26"/>
      <c r="K60" s="23" t="str">
        <f>"147,5"</f>
        <v>147,5</v>
      </c>
      <c r="L60" s="24" t="str">
        <f>"98,7851"</f>
        <v>98,7851</v>
      </c>
      <c r="M60" s="25" t="s">
        <v>34</v>
      </c>
    </row>
    <row r="62" spans="1:13" ht="15" x14ac:dyDescent="0.2">
      <c r="A62" s="42" t="s">
        <v>65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</row>
    <row r="63" spans="1:13" x14ac:dyDescent="0.2">
      <c r="A63" s="19" t="s">
        <v>424</v>
      </c>
      <c r="B63" s="20" t="s">
        <v>425</v>
      </c>
      <c r="C63" s="20" t="s">
        <v>426</v>
      </c>
      <c r="D63" s="20" t="str">
        <f>"0,5477"</f>
        <v>0,5477</v>
      </c>
      <c r="E63" s="21" t="s">
        <v>40</v>
      </c>
      <c r="F63" s="21" t="s">
        <v>393</v>
      </c>
      <c r="G63" s="22" t="s">
        <v>33</v>
      </c>
      <c r="H63" s="20" t="s">
        <v>101</v>
      </c>
      <c r="I63" s="22" t="s">
        <v>102</v>
      </c>
      <c r="J63" s="22"/>
      <c r="K63" s="19" t="str">
        <f>"175,0"</f>
        <v>175,0</v>
      </c>
      <c r="L63" s="20" t="str">
        <f>"95,8562"</f>
        <v>95,8562</v>
      </c>
      <c r="M63" s="21" t="s">
        <v>34</v>
      </c>
    </row>
    <row r="64" spans="1:13" x14ac:dyDescent="0.2">
      <c r="A64" s="27" t="s">
        <v>428</v>
      </c>
      <c r="B64" s="28" t="s">
        <v>429</v>
      </c>
      <c r="C64" s="28" t="s">
        <v>430</v>
      </c>
      <c r="D64" s="28" t="str">
        <f>"0,5469"</f>
        <v>0,5469</v>
      </c>
      <c r="E64" s="29" t="s">
        <v>40</v>
      </c>
      <c r="F64" s="29" t="s">
        <v>41</v>
      </c>
      <c r="G64" s="28" t="s">
        <v>115</v>
      </c>
      <c r="H64" s="30" t="s">
        <v>28</v>
      </c>
      <c r="I64" s="30" t="s">
        <v>28</v>
      </c>
      <c r="J64" s="30"/>
      <c r="K64" s="27" t="str">
        <f>"145,0"</f>
        <v>145,0</v>
      </c>
      <c r="L64" s="28" t="str">
        <f>"79,2933"</f>
        <v>79,2933</v>
      </c>
      <c r="M64" s="29" t="s">
        <v>431</v>
      </c>
    </row>
    <row r="65" spans="1:13" x14ac:dyDescent="0.2">
      <c r="A65" s="27" t="s">
        <v>433</v>
      </c>
      <c r="B65" s="28" t="s">
        <v>434</v>
      </c>
      <c r="C65" s="28" t="s">
        <v>124</v>
      </c>
      <c r="D65" s="28" t="str">
        <f>"0,5552"</f>
        <v>0,5552</v>
      </c>
      <c r="E65" s="29" t="s">
        <v>40</v>
      </c>
      <c r="F65" s="29" t="s">
        <v>41</v>
      </c>
      <c r="G65" s="28" t="s">
        <v>33</v>
      </c>
      <c r="H65" s="28" t="s">
        <v>435</v>
      </c>
      <c r="I65" s="30" t="s">
        <v>101</v>
      </c>
      <c r="J65" s="30"/>
      <c r="K65" s="27" t="str">
        <f>"172,5"</f>
        <v>172,5</v>
      </c>
      <c r="L65" s="28" t="str">
        <f>"105,0713"</f>
        <v>105,0713</v>
      </c>
      <c r="M65" s="29" t="s">
        <v>34</v>
      </c>
    </row>
    <row r="66" spans="1:13" x14ac:dyDescent="0.2">
      <c r="A66" s="23" t="s">
        <v>437</v>
      </c>
      <c r="B66" s="24" t="s">
        <v>438</v>
      </c>
      <c r="C66" s="24" t="s">
        <v>439</v>
      </c>
      <c r="D66" s="24" t="str">
        <f>"0,5475"</f>
        <v>0,5475</v>
      </c>
      <c r="E66" s="25" t="s">
        <v>40</v>
      </c>
      <c r="F66" s="25" t="s">
        <v>41</v>
      </c>
      <c r="G66" s="24" t="s">
        <v>435</v>
      </c>
      <c r="H66" s="26" t="s">
        <v>167</v>
      </c>
      <c r="I66" s="26" t="s">
        <v>167</v>
      </c>
      <c r="J66" s="26"/>
      <c r="K66" s="23" t="str">
        <f>"172,5"</f>
        <v>172,5</v>
      </c>
      <c r="L66" s="24" t="str">
        <f>"113,6999"</f>
        <v>113,6999</v>
      </c>
      <c r="M66" s="25" t="s">
        <v>34</v>
      </c>
    </row>
    <row r="68" spans="1:13" ht="15" x14ac:dyDescent="0.2">
      <c r="E68" s="10" t="s">
        <v>760</v>
      </c>
    </row>
    <row r="69" spans="1:13" ht="15" x14ac:dyDescent="0.2">
      <c r="E69" s="10" t="s">
        <v>761</v>
      </c>
    </row>
    <row r="70" spans="1:13" ht="15" x14ac:dyDescent="0.2">
      <c r="E70" s="10" t="s">
        <v>762</v>
      </c>
    </row>
    <row r="71" spans="1:13" ht="15" x14ac:dyDescent="0.2">
      <c r="E71" s="10" t="s">
        <v>763</v>
      </c>
    </row>
    <row r="72" spans="1:13" ht="15" x14ac:dyDescent="0.2">
      <c r="E72" s="10" t="s">
        <v>765</v>
      </c>
    </row>
    <row r="73" spans="1:13" ht="15" x14ac:dyDescent="0.2">
      <c r="E73" s="10" t="s">
        <v>764</v>
      </c>
    </row>
    <row r="74" spans="1:13" ht="15" x14ac:dyDescent="0.2">
      <c r="E74" s="10"/>
    </row>
    <row r="76" spans="1:13" ht="18" x14ac:dyDescent="0.25">
      <c r="A76" s="11" t="s">
        <v>44</v>
      </c>
      <c r="B76" s="12"/>
    </row>
    <row r="77" spans="1:13" ht="15" x14ac:dyDescent="0.2">
      <c r="A77" s="13" t="s">
        <v>125</v>
      </c>
      <c r="B77" s="14"/>
    </row>
    <row r="78" spans="1:13" ht="14.25" x14ac:dyDescent="0.2">
      <c r="A78" s="16"/>
      <c r="B78" s="17" t="s">
        <v>440</v>
      </c>
    </row>
    <row r="79" spans="1:13" ht="15" x14ac:dyDescent="0.2">
      <c r="A79" s="18" t="s">
        <v>47</v>
      </c>
      <c r="B79" s="18" t="s">
        <v>48</v>
      </c>
      <c r="C79" s="18" t="s">
        <v>49</v>
      </c>
      <c r="D79" s="18" t="s">
        <v>50</v>
      </c>
      <c r="E79" s="18" t="s">
        <v>51</v>
      </c>
    </row>
    <row r="80" spans="1:13" x14ac:dyDescent="0.2">
      <c r="A80" s="15" t="s">
        <v>250</v>
      </c>
      <c r="B80" s="1" t="s">
        <v>441</v>
      </c>
      <c r="C80" s="1" t="s">
        <v>442</v>
      </c>
      <c r="D80" s="1" t="s">
        <v>254</v>
      </c>
      <c r="E80" s="4" t="s">
        <v>443</v>
      </c>
    </row>
    <row r="82" spans="1:5" ht="14.25" x14ac:dyDescent="0.2">
      <c r="A82" s="16"/>
      <c r="B82" s="17" t="s">
        <v>46</v>
      </c>
    </row>
    <row r="83" spans="1:5" ht="15" x14ac:dyDescent="0.2">
      <c r="A83" s="18" t="s">
        <v>47</v>
      </c>
      <c r="B83" s="18" t="s">
        <v>48</v>
      </c>
      <c r="C83" s="18" t="s">
        <v>49</v>
      </c>
      <c r="D83" s="18" t="s">
        <v>50</v>
      </c>
      <c r="E83" s="18" t="s">
        <v>51</v>
      </c>
    </row>
    <row r="84" spans="1:5" x14ac:dyDescent="0.2">
      <c r="A84" s="15" t="s">
        <v>263</v>
      </c>
      <c r="B84" s="1" t="s">
        <v>46</v>
      </c>
      <c r="C84" s="1" t="s">
        <v>210</v>
      </c>
      <c r="D84" s="1" t="s">
        <v>267</v>
      </c>
      <c r="E84" s="4" t="s">
        <v>444</v>
      </c>
    </row>
    <row r="85" spans="1:5" x14ac:dyDescent="0.2">
      <c r="A85" s="15" t="s">
        <v>257</v>
      </c>
      <c r="B85" s="1" t="s">
        <v>46</v>
      </c>
      <c r="C85" s="1" t="s">
        <v>445</v>
      </c>
      <c r="D85" s="1" t="s">
        <v>262</v>
      </c>
      <c r="E85" s="4" t="s">
        <v>446</v>
      </c>
    </row>
    <row r="87" spans="1:5" ht="14.25" x14ac:dyDescent="0.2">
      <c r="A87" s="16"/>
      <c r="B87" s="17" t="s">
        <v>126</v>
      </c>
    </row>
    <row r="88" spans="1:5" ht="15" x14ac:dyDescent="0.2">
      <c r="A88" s="18" t="s">
        <v>47</v>
      </c>
      <c r="B88" s="18" t="s">
        <v>48</v>
      </c>
      <c r="C88" s="18" t="s">
        <v>49</v>
      </c>
      <c r="D88" s="18" t="s">
        <v>50</v>
      </c>
      <c r="E88" s="18" t="s">
        <v>51</v>
      </c>
    </row>
    <row r="89" spans="1:5" x14ac:dyDescent="0.2">
      <c r="A89" s="15" t="s">
        <v>269</v>
      </c>
      <c r="B89" s="1" t="s">
        <v>447</v>
      </c>
      <c r="C89" s="1" t="s">
        <v>237</v>
      </c>
      <c r="D89" s="1" t="s">
        <v>273</v>
      </c>
      <c r="E89" s="4" t="s">
        <v>448</v>
      </c>
    </row>
    <row r="92" spans="1:5" ht="15" x14ac:dyDescent="0.2">
      <c r="A92" s="13" t="s">
        <v>45</v>
      </c>
      <c r="B92" s="14"/>
    </row>
    <row r="93" spans="1:5" ht="14.25" x14ac:dyDescent="0.2">
      <c r="A93" s="16"/>
      <c r="B93" s="17" t="s">
        <v>243</v>
      </c>
    </row>
    <row r="94" spans="1:5" ht="15" x14ac:dyDescent="0.2">
      <c r="A94" s="18" t="s">
        <v>47</v>
      </c>
      <c r="B94" s="18" t="s">
        <v>48</v>
      </c>
      <c r="C94" s="18" t="s">
        <v>49</v>
      </c>
      <c r="D94" s="18" t="s">
        <v>50</v>
      </c>
      <c r="E94" s="18" t="s">
        <v>51</v>
      </c>
    </row>
    <row r="95" spans="1:5" x14ac:dyDescent="0.2">
      <c r="A95" s="15" t="s">
        <v>303</v>
      </c>
      <c r="B95" s="1" t="s">
        <v>449</v>
      </c>
      <c r="C95" s="1" t="s">
        <v>273</v>
      </c>
      <c r="D95" s="1" t="s">
        <v>109</v>
      </c>
      <c r="E95" s="4" t="s">
        <v>450</v>
      </c>
    </row>
    <row r="96" spans="1:5" x14ac:dyDescent="0.2">
      <c r="A96" s="15" t="s">
        <v>281</v>
      </c>
      <c r="B96" s="1" t="s">
        <v>441</v>
      </c>
      <c r="C96" s="1" t="s">
        <v>273</v>
      </c>
      <c r="D96" s="1" t="s">
        <v>286</v>
      </c>
      <c r="E96" s="4" t="s">
        <v>451</v>
      </c>
    </row>
    <row r="97" spans="1:5" x14ac:dyDescent="0.2">
      <c r="A97" s="15" t="s">
        <v>288</v>
      </c>
      <c r="B97" s="1" t="s">
        <v>244</v>
      </c>
      <c r="C97" s="1" t="s">
        <v>273</v>
      </c>
      <c r="D97" s="1" t="s">
        <v>87</v>
      </c>
      <c r="E97" s="4" t="s">
        <v>452</v>
      </c>
    </row>
    <row r="98" spans="1:5" x14ac:dyDescent="0.2">
      <c r="A98" s="15" t="s">
        <v>339</v>
      </c>
      <c r="B98" s="1" t="s">
        <v>244</v>
      </c>
      <c r="C98" s="1" t="s">
        <v>85</v>
      </c>
      <c r="D98" s="1" t="s">
        <v>157</v>
      </c>
      <c r="E98" s="4" t="s">
        <v>453</v>
      </c>
    </row>
    <row r="99" spans="1:5" x14ac:dyDescent="0.2">
      <c r="A99" s="15" t="s">
        <v>292</v>
      </c>
      <c r="B99" s="1" t="s">
        <v>244</v>
      </c>
      <c r="C99" s="1" t="s">
        <v>273</v>
      </c>
      <c r="D99" s="1" t="s">
        <v>297</v>
      </c>
      <c r="E99" s="4" t="s">
        <v>454</v>
      </c>
    </row>
    <row r="100" spans="1:5" x14ac:dyDescent="0.2">
      <c r="A100" s="15" t="s">
        <v>298</v>
      </c>
      <c r="B100" s="1" t="s">
        <v>244</v>
      </c>
      <c r="C100" s="1" t="s">
        <v>273</v>
      </c>
      <c r="D100" s="1" t="s">
        <v>54</v>
      </c>
      <c r="E100" s="4" t="s">
        <v>455</v>
      </c>
    </row>
    <row r="102" spans="1:5" ht="14.25" x14ac:dyDescent="0.2">
      <c r="A102" s="16"/>
      <c r="B102" s="17" t="s">
        <v>46</v>
      </c>
    </row>
    <row r="103" spans="1:5" ht="15" x14ac:dyDescent="0.2">
      <c r="A103" s="18" t="s">
        <v>47</v>
      </c>
      <c r="B103" s="18" t="s">
        <v>48</v>
      </c>
      <c r="C103" s="18" t="s">
        <v>49</v>
      </c>
      <c r="D103" s="18" t="s">
        <v>50</v>
      </c>
      <c r="E103" s="18" t="s">
        <v>51</v>
      </c>
    </row>
    <row r="104" spans="1:5" x14ac:dyDescent="0.2">
      <c r="A104" s="15" t="s">
        <v>423</v>
      </c>
      <c r="B104" s="1" t="s">
        <v>46</v>
      </c>
      <c r="C104" s="1" t="s">
        <v>78</v>
      </c>
      <c r="D104" s="1" t="s">
        <v>101</v>
      </c>
      <c r="E104" s="4" t="s">
        <v>456</v>
      </c>
    </row>
    <row r="105" spans="1:5" x14ac:dyDescent="0.2">
      <c r="A105" s="15" t="s">
        <v>389</v>
      </c>
      <c r="B105" s="1" t="s">
        <v>46</v>
      </c>
      <c r="C105" s="1" t="s">
        <v>30</v>
      </c>
      <c r="D105" s="1" t="s">
        <v>394</v>
      </c>
      <c r="E105" s="4" t="s">
        <v>457</v>
      </c>
    </row>
    <row r="106" spans="1:5" x14ac:dyDescent="0.2">
      <c r="A106" s="15" t="s">
        <v>331</v>
      </c>
      <c r="B106" s="1" t="s">
        <v>46</v>
      </c>
      <c r="C106" s="1" t="s">
        <v>194</v>
      </c>
      <c r="D106" s="1" t="s">
        <v>115</v>
      </c>
      <c r="E106" s="4" t="s">
        <v>458</v>
      </c>
    </row>
    <row r="107" spans="1:5" x14ac:dyDescent="0.2">
      <c r="A107" s="15" t="s">
        <v>345</v>
      </c>
      <c r="B107" s="1" t="s">
        <v>46</v>
      </c>
      <c r="C107" s="1" t="s">
        <v>85</v>
      </c>
      <c r="D107" s="1" t="s">
        <v>31</v>
      </c>
      <c r="E107" s="4" t="s">
        <v>459</v>
      </c>
    </row>
    <row r="108" spans="1:5" x14ac:dyDescent="0.2">
      <c r="A108" s="15" t="s">
        <v>311</v>
      </c>
      <c r="B108" s="1" t="s">
        <v>46</v>
      </c>
      <c r="C108" s="1" t="s">
        <v>54</v>
      </c>
      <c r="D108" s="1" t="s">
        <v>193</v>
      </c>
      <c r="E108" s="4" t="s">
        <v>460</v>
      </c>
    </row>
    <row r="109" spans="1:5" x14ac:dyDescent="0.2">
      <c r="A109" s="15" t="s">
        <v>335</v>
      </c>
      <c r="B109" s="1" t="s">
        <v>46</v>
      </c>
      <c r="C109" s="1" t="s">
        <v>194</v>
      </c>
      <c r="D109" s="1" t="s">
        <v>166</v>
      </c>
      <c r="E109" s="4" t="s">
        <v>461</v>
      </c>
    </row>
    <row r="110" spans="1:5" x14ac:dyDescent="0.2">
      <c r="A110" s="15" t="s">
        <v>365</v>
      </c>
      <c r="B110" s="1" t="s">
        <v>46</v>
      </c>
      <c r="C110" s="1" t="s">
        <v>87</v>
      </c>
      <c r="D110" s="1" t="s">
        <v>28</v>
      </c>
      <c r="E110" s="4" t="s">
        <v>462</v>
      </c>
    </row>
    <row r="111" spans="1:5" x14ac:dyDescent="0.2">
      <c r="A111" s="15" t="s">
        <v>316</v>
      </c>
      <c r="B111" s="1" t="s">
        <v>46</v>
      </c>
      <c r="C111" s="1" t="s">
        <v>54</v>
      </c>
      <c r="D111" s="1" t="s">
        <v>187</v>
      </c>
      <c r="E111" s="4" t="s">
        <v>463</v>
      </c>
    </row>
    <row r="112" spans="1:5" x14ac:dyDescent="0.2">
      <c r="A112" s="15" t="s">
        <v>395</v>
      </c>
      <c r="B112" s="1" t="s">
        <v>46</v>
      </c>
      <c r="C112" s="1" t="s">
        <v>30</v>
      </c>
      <c r="D112" s="1" t="s">
        <v>28</v>
      </c>
      <c r="E112" s="4" t="s">
        <v>464</v>
      </c>
    </row>
    <row r="113" spans="1:5" x14ac:dyDescent="0.2">
      <c r="A113" s="15" t="s">
        <v>400</v>
      </c>
      <c r="B113" s="1" t="s">
        <v>46</v>
      </c>
      <c r="C113" s="1" t="s">
        <v>30</v>
      </c>
      <c r="D113" s="1" t="s">
        <v>180</v>
      </c>
      <c r="E113" s="4" t="s">
        <v>465</v>
      </c>
    </row>
    <row r="114" spans="1:5" x14ac:dyDescent="0.2">
      <c r="A114" s="15" t="s">
        <v>370</v>
      </c>
      <c r="B114" s="1" t="s">
        <v>46</v>
      </c>
      <c r="C114" s="1" t="s">
        <v>87</v>
      </c>
      <c r="D114" s="1" t="s">
        <v>27</v>
      </c>
      <c r="E114" s="4" t="s">
        <v>466</v>
      </c>
    </row>
    <row r="115" spans="1:5" x14ac:dyDescent="0.2">
      <c r="A115" s="15" t="s">
        <v>350</v>
      </c>
      <c r="B115" s="1" t="s">
        <v>46</v>
      </c>
      <c r="C115" s="1" t="s">
        <v>85</v>
      </c>
      <c r="D115" s="1" t="s">
        <v>353</v>
      </c>
      <c r="E115" s="4" t="s">
        <v>467</v>
      </c>
    </row>
    <row r="116" spans="1:5" x14ac:dyDescent="0.2">
      <c r="A116" s="15" t="s">
        <v>404</v>
      </c>
      <c r="B116" s="1" t="s">
        <v>46</v>
      </c>
      <c r="C116" s="1" t="s">
        <v>30</v>
      </c>
      <c r="D116" s="1" t="s">
        <v>408</v>
      </c>
      <c r="E116" s="4" t="s">
        <v>468</v>
      </c>
    </row>
    <row r="117" spans="1:5" x14ac:dyDescent="0.2">
      <c r="A117" s="15" t="s">
        <v>427</v>
      </c>
      <c r="B117" s="1" t="s">
        <v>46</v>
      </c>
      <c r="C117" s="1" t="s">
        <v>78</v>
      </c>
      <c r="D117" s="1" t="s">
        <v>115</v>
      </c>
      <c r="E117" s="4" t="s">
        <v>469</v>
      </c>
    </row>
    <row r="118" spans="1:5" x14ac:dyDescent="0.2">
      <c r="A118" s="15" t="s">
        <v>319</v>
      </c>
      <c r="B118" s="1" t="s">
        <v>46</v>
      </c>
      <c r="C118" s="1" t="s">
        <v>54</v>
      </c>
      <c r="D118" s="1" t="s">
        <v>29</v>
      </c>
      <c r="E118" s="4" t="s">
        <v>470</v>
      </c>
    </row>
    <row r="119" spans="1:5" x14ac:dyDescent="0.2">
      <c r="A119" s="15" t="s">
        <v>354</v>
      </c>
      <c r="B119" s="1" t="s">
        <v>46</v>
      </c>
      <c r="C119" s="1" t="s">
        <v>85</v>
      </c>
      <c r="D119" s="1" t="s">
        <v>157</v>
      </c>
      <c r="E119" s="4" t="s">
        <v>471</v>
      </c>
    </row>
    <row r="120" spans="1:5" x14ac:dyDescent="0.2">
      <c r="A120" s="15" t="s">
        <v>307</v>
      </c>
      <c r="B120" s="1" t="s">
        <v>46</v>
      </c>
      <c r="C120" s="1" t="s">
        <v>273</v>
      </c>
      <c r="D120" s="1" t="s">
        <v>86</v>
      </c>
      <c r="E120" s="4" t="s">
        <v>472</v>
      </c>
    </row>
    <row r="122" spans="1:5" ht="14.25" x14ac:dyDescent="0.2">
      <c r="A122" s="16"/>
      <c r="B122" s="17" t="s">
        <v>126</v>
      </c>
    </row>
    <row r="123" spans="1:5" ht="15" x14ac:dyDescent="0.2">
      <c r="A123" s="18" t="s">
        <v>47</v>
      </c>
      <c r="B123" s="18" t="s">
        <v>48</v>
      </c>
      <c r="C123" s="18" t="s">
        <v>49</v>
      </c>
      <c r="D123" s="18" t="s">
        <v>50</v>
      </c>
      <c r="E123" s="18" t="s">
        <v>51</v>
      </c>
    </row>
    <row r="124" spans="1:5" x14ac:dyDescent="0.2">
      <c r="A124" s="15" t="s">
        <v>436</v>
      </c>
      <c r="B124" s="1" t="s">
        <v>127</v>
      </c>
      <c r="C124" s="1" t="s">
        <v>78</v>
      </c>
      <c r="D124" s="1" t="s">
        <v>435</v>
      </c>
      <c r="E124" s="4" t="s">
        <v>473</v>
      </c>
    </row>
    <row r="125" spans="1:5" x14ac:dyDescent="0.2">
      <c r="A125" s="15" t="s">
        <v>432</v>
      </c>
      <c r="B125" s="1" t="s">
        <v>447</v>
      </c>
      <c r="C125" s="1" t="s">
        <v>78</v>
      </c>
      <c r="D125" s="1" t="s">
        <v>435</v>
      </c>
      <c r="E125" s="4" t="s">
        <v>474</v>
      </c>
    </row>
    <row r="126" spans="1:5" x14ac:dyDescent="0.2">
      <c r="A126" s="15" t="s">
        <v>358</v>
      </c>
      <c r="B126" s="1" t="s">
        <v>447</v>
      </c>
      <c r="C126" s="1" t="s">
        <v>85</v>
      </c>
      <c r="D126" s="1" t="s">
        <v>93</v>
      </c>
      <c r="E126" s="4" t="s">
        <v>475</v>
      </c>
    </row>
    <row r="127" spans="1:5" x14ac:dyDescent="0.2">
      <c r="A127" s="15" t="s">
        <v>418</v>
      </c>
      <c r="B127" s="1" t="s">
        <v>127</v>
      </c>
      <c r="C127" s="1" t="s">
        <v>30</v>
      </c>
      <c r="D127" s="1" t="s">
        <v>180</v>
      </c>
      <c r="E127" s="4" t="s">
        <v>476</v>
      </c>
    </row>
    <row r="128" spans="1:5" x14ac:dyDescent="0.2">
      <c r="A128" s="15" t="s">
        <v>410</v>
      </c>
      <c r="B128" s="1" t="s">
        <v>230</v>
      </c>
      <c r="C128" s="1" t="s">
        <v>30</v>
      </c>
      <c r="D128" s="1" t="s">
        <v>394</v>
      </c>
      <c r="E128" s="4" t="s">
        <v>477</v>
      </c>
    </row>
    <row r="129" spans="1:5" x14ac:dyDescent="0.2">
      <c r="A129" s="15" t="s">
        <v>374</v>
      </c>
      <c r="B129" s="1" t="s">
        <v>230</v>
      </c>
      <c r="C129" s="1" t="s">
        <v>87</v>
      </c>
      <c r="D129" s="1" t="s">
        <v>28</v>
      </c>
      <c r="E129" s="4" t="s">
        <v>478</v>
      </c>
    </row>
    <row r="130" spans="1:5" x14ac:dyDescent="0.2">
      <c r="A130" s="15" t="s">
        <v>414</v>
      </c>
      <c r="B130" s="1" t="s">
        <v>230</v>
      </c>
      <c r="C130" s="1" t="s">
        <v>30</v>
      </c>
      <c r="D130" s="1" t="s">
        <v>28</v>
      </c>
      <c r="E130" s="4" t="s">
        <v>479</v>
      </c>
    </row>
    <row r="131" spans="1:5" x14ac:dyDescent="0.2">
      <c r="A131" s="15" t="s">
        <v>379</v>
      </c>
      <c r="B131" s="1" t="s">
        <v>230</v>
      </c>
      <c r="C131" s="1" t="s">
        <v>87</v>
      </c>
      <c r="D131" s="1" t="s">
        <v>27</v>
      </c>
      <c r="E131" s="4" t="s">
        <v>480</v>
      </c>
    </row>
    <row r="132" spans="1:5" x14ac:dyDescent="0.2">
      <c r="A132" s="15" t="s">
        <v>383</v>
      </c>
      <c r="B132" s="1" t="s">
        <v>127</v>
      </c>
      <c r="C132" s="1" t="s">
        <v>87</v>
      </c>
      <c r="D132" s="1" t="s">
        <v>387</v>
      </c>
      <c r="E132" s="4" t="s">
        <v>481</v>
      </c>
    </row>
    <row r="133" spans="1:5" x14ac:dyDescent="0.2">
      <c r="A133" s="15" t="s">
        <v>326</v>
      </c>
      <c r="B133" s="1" t="s">
        <v>230</v>
      </c>
      <c r="C133" s="1" t="s">
        <v>54</v>
      </c>
      <c r="D133" s="1" t="s">
        <v>87</v>
      </c>
      <c r="E133" s="4" t="s">
        <v>482</v>
      </c>
    </row>
  </sheetData>
  <mergeCells count="23">
    <mergeCell ref="A17:L17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1:L11"/>
    <mergeCell ref="A14:L14"/>
    <mergeCell ref="A62:L62"/>
    <mergeCell ref="A20:L20"/>
    <mergeCell ref="A28:L28"/>
    <mergeCell ref="A35:L35"/>
    <mergeCell ref="A39:L39"/>
    <mergeCell ref="A46:L46"/>
    <mergeCell ref="A53:L5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09695-5C70-46BF-91F7-EECB99ED9C8F}">
  <dimension ref="A1:U27"/>
  <sheetViews>
    <sheetView topLeftCell="A5" workbookViewId="0">
      <selection activeCell="E11" sqref="E11:F16"/>
    </sheetView>
  </sheetViews>
  <sheetFormatPr defaultRowHeight="12.75" x14ac:dyDescent="0.2"/>
  <cols>
    <col min="1" max="1" width="28.28515625" style="4" bestFit="1" customWidth="1"/>
    <col min="2" max="2" width="28.42578125" style="1" bestFit="1" customWidth="1"/>
    <col min="3" max="3" width="10.5703125" style="1" bestFit="1" customWidth="1"/>
    <col min="4" max="4" width="8.42578125" style="1" bestFit="1" customWidth="1"/>
    <col min="5" max="5" width="22.7109375" style="5" bestFit="1" customWidth="1"/>
    <col min="6" max="6" width="30.7109375" style="5" bestFit="1" customWidth="1"/>
    <col min="7" max="9" width="5.5703125" style="1" bestFit="1" customWidth="1"/>
    <col min="10" max="10" width="2.140625" style="1" bestFit="1" customWidth="1"/>
    <col min="11" max="13" width="5.5703125" style="1" bestFit="1" customWidth="1"/>
    <col min="14" max="14" width="2.140625" style="1" bestFit="1" customWidth="1"/>
    <col min="15" max="17" width="5.5703125" style="1" bestFit="1" customWidth="1"/>
    <col min="18" max="18" width="3.28515625" style="1" bestFit="1" customWidth="1"/>
    <col min="19" max="19" width="11.28515625" style="4" bestFit="1" customWidth="1"/>
    <col min="20" max="20" width="8.5703125" style="1" bestFit="1" customWidth="1"/>
    <col min="21" max="21" width="8.85546875" style="5" bestFit="1" customWidth="1"/>
    <col min="22" max="16384" width="9.140625" style="1"/>
  </cols>
  <sheetData>
    <row r="1" spans="1:21" ht="29.1" customHeight="1" x14ac:dyDescent="0.2">
      <c r="A1" s="44" t="s">
        <v>231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</row>
    <row r="3" spans="1:21" s="2" customFormat="1" ht="12.75" customHeight="1" x14ac:dyDescent="0.2">
      <c r="A3" s="50" t="s">
        <v>0</v>
      </c>
      <c r="B3" s="52" t="s">
        <v>14</v>
      </c>
      <c r="C3" s="52" t="s">
        <v>15</v>
      </c>
      <c r="D3" s="54" t="s">
        <v>18</v>
      </c>
      <c r="E3" s="54" t="s">
        <v>3</v>
      </c>
      <c r="F3" s="54" t="s">
        <v>16</v>
      </c>
      <c r="G3" s="55" t="s">
        <v>19</v>
      </c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  <c r="S3" s="58" t="s">
        <v>13</v>
      </c>
      <c r="T3" s="54" t="s">
        <v>2</v>
      </c>
      <c r="U3" s="38" t="s">
        <v>1</v>
      </c>
    </row>
    <row r="4" spans="1:21" s="2" customFormat="1" ht="21" customHeight="1" thickBot="1" x14ac:dyDescent="0.25">
      <c r="A4" s="51"/>
      <c r="B4" s="53"/>
      <c r="C4" s="53"/>
      <c r="D4" s="53"/>
      <c r="E4" s="53"/>
      <c r="F4" s="53"/>
      <c r="G4" s="3">
        <v>1</v>
      </c>
      <c r="H4" s="3">
        <v>2</v>
      </c>
      <c r="I4" s="3">
        <v>3</v>
      </c>
      <c r="J4" s="3" t="s">
        <v>4</v>
      </c>
      <c r="K4" s="3" t="s">
        <v>5</v>
      </c>
      <c r="L4" s="3" t="s">
        <v>6</v>
      </c>
      <c r="M4" s="3" t="s">
        <v>7</v>
      </c>
      <c r="N4" s="3" t="s">
        <v>8</v>
      </c>
      <c r="O4" s="3" t="s">
        <v>9</v>
      </c>
      <c r="P4" s="3" t="s">
        <v>10</v>
      </c>
      <c r="Q4" s="3" t="s">
        <v>11</v>
      </c>
      <c r="R4" s="3" t="s">
        <v>12</v>
      </c>
      <c r="S4" s="59"/>
      <c r="T4" s="53"/>
      <c r="U4" s="39"/>
    </row>
    <row r="5" spans="1:21" ht="15" x14ac:dyDescent="0.2">
      <c r="A5" s="40" t="s">
        <v>20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1" x14ac:dyDescent="0.2">
      <c r="A6" s="6" t="s">
        <v>233</v>
      </c>
      <c r="B6" s="7" t="s">
        <v>234</v>
      </c>
      <c r="C6" s="7" t="s">
        <v>235</v>
      </c>
      <c r="D6" s="7" t="str">
        <f>"0,7181"</f>
        <v>0,7181</v>
      </c>
      <c r="E6" s="8" t="s">
        <v>40</v>
      </c>
      <c r="F6" s="8" t="s">
        <v>141</v>
      </c>
      <c r="G6" s="7" t="s">
        <v>87</v>
      </c>
      <c r="H6" s="7" t="s">
        <v>30</v>
      </c>
      <c r="I6" s="9" t="s">
        <v>173</v>
      </c>
      <c r="J6" s="9"/>
      <c r="K6" s="7" t="s">
        <v>236</v>
      </c>
      <c r="L6" s="7" t="s">
        <v>142</v>
      </c>
      <c r="M6" s="7" t="s">
        <v>237</v>
      </c>
      <c r="N6" s="9"/>
      <c r="O6" s="7" t="s">
        <v>87</v>
      </c>
      <c r="P6" s="7" t="s">
        <v>30</v>
      </c>
      <c r="Q6" s="7" t="s">
        <v>173</v>
      </c>
      <c r="R6" s="9"/>
      <c r="S6" s="6" t="str">
        <f>"290,0"</f>
        <v>290,0</v>
      </c>
      <c r="T6" s="7" t="str">
        <f>"208,2345"</f>
        <v>208,2345</v>
      </c>
      <c r="U6" s="8" t="s">
        <v>34</v>
      </c>
    </row>
    <row r="8" spans="1:21" ht="15" x14ac:dyDescent="0.2">
      <c r="A8" s="42" t="s">
        <v>95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1:21" x14ac:dyDescent="0.2">
      <c r="A9" s="6" t="s">
        <v>239</v>
      </c>
      <c r="B9" s="7" t="s">
        <v>240</v>
      </c>
      <c r="C9" s="7" t="s">
        <v>241</v>
      </c>
      <c r="D9" s="7" t="str">
        <f>"0,6213"</f>
        <v>0,6213</v>
      </c>
      <c r="E9" s="8" t="s">
        <v>40</v>
      </c>
      <c r="F9" s="8" t="s">
        <v>156</v>
      </c>
      <c r="G9" s="9" t="s">
        <v>242</v>
      </c>
      <c r="H9" s="7" t="s">
        <v>242</v>
      </c>
      <c r="I9" s="9" t="s">
        <v>102</v>
      </c>
      <c r="J9" s="9"/>
      <c r="K9" s="9" t="s">
        <v>173</v>
      </c>
      <c r="L9" s="7" t="s">
        <v>173</v>
      </c>
      <c r="M9" s="9" t="s">
        <v>78</v>
      </c>
      <c r="N9" s="9"/>
      <c r="O9" s="9" t="s">
        <v>42</v>
      </c>
      <c r="P9" s="7" t="s">
        <v>42</v>
      </c>
      <c r="Q9" s="7" t="s">
        <v>73</v>
      </c>
      <c r="R9" s="9"/>
      <c r="S9" s="6" t="str">
        <f>"495,0"</f>
        <v>495,0</v>
      </c>
      <c r="T9" s="7" t="str">
        <f>"307,5682"</f>
        <v>307,5682</v>
      </c>
      <c r="U9" s="8" t="s">
        <v>34</v>
      </c>
    </row>
    <row r="11" spans="1:21" ht="15" x14ac:dyDescent="0.2">
      <c r="E11" s="10" t="s">
        <v>760</v>
      </c>
    </row>
    <row r="12" spans="1:21" ht="15" x14ac:dyDescent="0.2">
      <c r="E12" s="10" t="s">
        <v>761</v>
      </c>
    </row>
    <row r="13" spans="1:21" ht="15" x14ac:dyDescent="0.2">
      <c r="E13" s="10" t="s">
        <v>762</v>
      </c>
    </row>
    <row r="14" spans="1:21" ht="15" x14ac:dyDescent="0.2">
      <c r="E14" s="10" t="s">
        <v>763</v>
      </c>
    </row>
    <row r="15" spans="1:21" ht="15" x14ac:dyDescent="0.2">
      <c r="E15" s="10" t="s">
        <v>765</v>
      </c>
    </row>
    <row r="16" spans="1:21" ht="15" x14ac:dyDescent="0.2">
      <c r="E16" s="10" t="s">
        <v>764</v>
      </c>
    </row>
    <row r="17" spans="1:5" ht="15" x14ac:dyDescent="0.2">
      <c r="E17" s="10"/>
    </row>
    <row r="19" spans="1:5" ht="18" x14ac:dyDescent="0.25">
      <c r="A19" s="11" t="s">
        <v>44</v>
      </c>
      <c r="B19" s="12"/>
    </row>
    <row r="20" spans="1:5" ht="15" x14ac:dyDescent="0.2">
      <c r="A20" s="13" t="s">
        <v>45</v>
      </c>
      <c r="B20" s="14"/>
    </row>
    <row r="21" spans="1:5" ht="14.25" x14ac:dyDescent="0.2">
      <c r="A21" s="16"/>
      <c r="B21" s="17" t="s">
        <v>243</v>
      </c>
    </row>
    <row r="22" spans="1:5" ht="15" x14ac:dyDescent="0.2">
      <c r="A22" s="18" t="s">
        <v>47</v>
      </c>
      <c r="B22" s="18" t="s">
        <v>48</v>
      </c>
      <c r="C22" s="18" t="s">
        <v>49</v>
      </c>
      <c r="D22" s="18" t="s">
        <v>50</v>
      </c>
      <c r="E22" s="18" t="s">
        <v>51</v>
      </c>
    </row>
    <row r="23" spans="1:5" x14ac:dyDescent="0.2">
      <c r="A23" s="15" t="s">
        <v>232</v>
      </c>
      <c r="B23" s="1" t="s">
        <v>244</v>
      </c>
      <c r="C23" s="1" t="s">
        <v>54</v>
      </c>
      <c r="D23" s="1" t="s">
        <v>71</v>
      </c>
      <c r="E23" s="4" t="s">
        <v>245</v>
      </c>
    </row>
    <row r="25" spans="1:5" ht="14.25" x14ac:dyDescent="0.2">
      <c r="A25" s="16"/>
      <c r="B25" s="17" t="s">
        <v>212</v>
      </c>
    </row>
    <row r="26" spans="1:5" ht="15" x14ac:dyDescent="0.2">
      <c r="A26" s="18" t="s">
        <v>47</v>
      </c>
      <c r="B26" s="18" t="s">
        <v>48</v>
      </c>
      <c r="C26" s="18" t="s">
        <v>49</v>
      </c>
      <c r="D26" s="18" t="s">
        <v>50</v>
      </c>
      <c r="E26" s="18" t="s">
        <v>51</v>
      </c>
    </row>
    <row r="27" spans="1:5" x14ac:dyDescent="0.2">
      <c r="A27" s="15" t="s">
        <v>238</v>
      </c>
      <c r="B27" s="1" t="s">
        <v>213</v>
      </c>
      <c r="C27" s="1" t="s">
        <v>85</v>
      </c>
      <c r="D27" s="1" t="s">
        <v>246</v>
      </c>
      <c r="E27" s="4" t="s">
        <v>247</v>
      </c>
    </row>
  </sheetData>
  <mergeCells count="13">
    <mergeCell ref="U3:U4"/>
    <mergeCell ref="A5:T5"/>
    <mergeCell ref="A8:T8"/>
    <mergeCell ref="A1:U2"/>
    <mergeCell ref="A3:A4"/>
    <mergeCell ref="B3:B4"/>
    <mergeCell ref="C3:C4"/>
    <mergeCell ref="D3:D4"/>
    <mergeCell ref="E3:E4"/>
    <mergeCell ref="F3:F4"/>
    <mergeCell ref="G3:R3"/>
    <mergeCell ref="S3:S4"/>
    <mergeCell ref="T3:T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2E321-7A2E-4494-8504-1ED09450A7C0}">
  <dimension ref="A1:U62"/>
  <sheetViews>
    <sheetView topLeftCell="A25" workbookViewId="0">
      <selection activeCell="E30" sqref="E30:F35"/>
    </sheetView>
  </sheetViews>
  <sheetFormatPr defaultRowHeight="12.75" x14ac:dyDescent="0.2"/>
  <cols>
    <col min="1" max="1" width="28.28515625" style="4" bestFit="1" customWidth="1"/>
    <col min="2" max="2" width="28.5703125" style="1" bestFit="1" customWidth="1"/>
    <col min="3" max="3" width="10.5703125" style="1" bestFit="1" customWidth="1"/>
    <col min="4" max="4" width="8.42578125" style="1" bestFit="1" customWidth="1"/>
    <col min="5" max="5" width="22.7109375" style="5" bestFit="1" customWidth="1"/>
    <col min="6" max="6" width="30.7109375" style="5" bestFit="1" customWidth="1"/>
    <col min="7" max="9" width="5.5703125" style="1" bestFit="1" customWidth="1"/>
    <col min="10" max="10" width="2.140625" style="1" bestFit="1" customWidth="1"/>
    <col min="11" max="13" width="5.5703125" style="1" bestFit="1" customWidth="1"/>
    <col min="14" max="14" width="2.140625" style="1" bestFit="1" customWidth="1"/>
    <col min="15" max="17" width="5.5703125" style="1" bestFit="1" customWidth="1"/>
    <col min="18" max="18" width="3.28515625" style="1" bestFit="1" customWidth="1"/>
    <col min="19" max="19" width="11.28515625" style="4" bestFit="1" customWidth="1"/>
    <col min="20" max="20" width="8.5703125" style="1" bestFit="1" customWidth="1"/>
    <col min="21" max="21" width="17.85546875" style="5" bestFit="1" customWidth="1"/>
    <col min="22" max="16384" width="9.140625" style="1"/>
  </cols>
  <sheetData>
    <row r="1" spans="1:21" ht="29.1" customHeight="1" x14ac:dyDescent="0.2">
      <c r="A1" s="44" t="s">
        <v>135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</row>
    <row r="3" spans="1:21" s="2" customFormat="1" ht="12.75" customHeight="1" x14ac:dyDescent="0.2">
      <c r="A3" s="50" t="s">
        <v>0</v>
      </c>
      <c r="B3" s="52" t="s">
        <v>14</v>
      </c>
      <c r="C3" s="52" t="s">
        <v>15</v>
      </c>
      <c r="D3" s="54" t="s">
        <v>18</v>
      </c>
      <c r="E3" s="54" t="s">
        <v>3</v>
      </c>
      <c r="F3" s="54" t="s">
        <v>16</v>
      </c>
      <c r="G3" s="55" t="s">
        <v>19</v>
      </c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  <c r="S3" s="58" t="s">
        <v>13</v>
      </c>
      <c r="T3" s="54" t="s">
        <v>2</v>
      </c>
      <c r="U3" s="38" t="s">
        <v>1</v>
      </c>
    </row>
    <row r="4" spans="1:21" s="2" customFormat="1" ht="21" customHeight="1" thickBot="1" x14ac:dyDescent="0.25">
      <c r="A4" s="51"/>
      <c r="B4" s="53"/>
      <c r="C4" s="53"/>
      <c r="D4" s="53"/>
      <c r="E4" s="53"/>
      <c r="F4" s="53"/>
      <c r="G4" s="3">
        <v>1</v>
      </c>
      <c r="H4" s="3">
        <v>2</v>
      </c>
      <c r="I4" s="3">
        <v>3</v>
      </c>
      <c r="J4" s="3" t="s">
        <v>4</v>
      </c>
      <c r="K4" s="3" t="s">
        <v>5</v>
      </c>
      <c r="L4" s="3" t="s">
        <v>6</v>
      </c>
      <c r="M4" s="3" t="s">
        <v>7</v>
      </c>
      <c r="N4" s="3" t="s">
        <v>8</v>
      </c>
      <c r="O4" s="3" t="s">
        <v>9</v>
      </c>
      <c r="P4" s="3" t="s">
        <v>10</v>
      </c>
      <c r="Q4" s="3" t="s">
        <v>11</v>
      </c>
      <c r="R4" s="3" t="s">
        <v>12</v>
      </c>
      <c r="S4" s="59"/>
      <c r="T4" s="53"/>
      <c r="U4" s="39"/>
    </row>
    <row r="5" spans="1:21" ht="15" x14ac:dyDescent="0.2">
      <c r="A5" s="40" t="s">
        <v>136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1" x14ac:dyDescent="0.2">
      <c r="A6" s="19" t="s">
        <v>138</v>
      </c>
      <c r="B6" s="20" t="s">
        <v>139</v>
      </c>
      <c r="C6" s="20" t="s">
        <v>140</v>
      </c>
      <c r="D6" s="20" t="str">
        <f>"1,0462"</f>
        <v>1,0462</v>
      </c>
      <c r="E6" s="21" t="s">
        <v>40</v>
      </c>
      <c r="F6" s="21" t="s">
        <v>141</v>
      </c>
      <c r="G6" s="20" t="s">
        <v>142</v>
      </c>
      <c r="H6" s="20" t="s">
        <v>143</v>
      </c>
      <c r="I6" s="20" t="s">
        <v>144</v>
      </c>
      <c r="J6" s="22"/>
      <c r="K6" s="20" t="s">
        <v>145</v>
      </c>
      <c r="L6" s="20" t="s">
        <v>146</v>
      </c>
      <c r="M6" s="22" t="s">
        <v>147</v>
      </c>
      <c r="N6" s="22"/>
      <c r="O6" s="20" t="s">
        <v>142</v>
      </c>
      <c r="P6" s="20" t="s">
        <v>143</v>
      </c>
      <c r="Q6" s="20" t="s">
        <v>148</v>
      </c>
      <c r="R6" s="22"/>
      <c r="S6" s="19" t="str">
        <f>"177,5"</f>
        <v>177,5</v>
      </c>
      <c r="T6" s="20" t="str">
        <f>"185,7005"</f>
        <v>185,7005</v>
      </c>
      <c r="U6" s="21" t="s">
        <v>34</v>
      </c>
    </row>
    <row r="7" spans="1:21" x14ac:dyDescent="0.2">
      <c r="A7" s="23" t="s">
        <v>149</v>
      </c>
      <c r="B7" s="24" t="s">
        <v>150</v>
      </c>
      <c r="C7" s="24" t="s">
        <v>151</v>
      </c>
      <c r="D7" s="24" t="str">
        <f>"1,0439"</f>
        <v>1,0439</v>
      </c>
      <c r="E7" s="25" t="s">
        <v>40</v>
      </c>
      <c r="F7" s="25" t="s">
        <v>41</v>
      </c>
      <c r="G7" s="26" t="s">
        <v>29</v>
      </c>
      <c r="H7" s="26" t="s">
        <v>29</v>
      </c>
      <c r="I7" s="26" t="s">
        <v>29</v>
      </c>
      <c r="J7" s="26"/>
      <c r="K7" s="26" t="s">
        <v>142</v>
      </c>
      <c r="L7" s="26"/>
      <c r="M7" s="26"/>
      <c r="N7" s="26"/>
      <c r="O7" s="26" t="s">
        <v>109</v>
      </c>
      <c r="P7" s="26"/>
      <c r="Q7" s="26"/>
      <c r="R7" s="26"/>
      <c r="S7" s="23" t="str">
        <f>"0.00"</f>
        <v>0.00</v>
      </c>
      <c r="T7" s="24" t="str">
        <f>"0,0000"</f>
        <v>0,0000</v>
      </c>
      <c r="U7" s="25" t="s">
        <v>34</v>
      </c>
    </row>
    <row r="9" spans="1:21" ht="15" x14ac:dyDescent="0.2">
      <c r="A9" s="42" t="s">
        <v>20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</row>
    <row r="10" spans="1:21" x14ac:dyDescent="0.2">
      <c r="A10" s="6" t="s">
        <v>153</v>
      </c>
      <c r="B10" s="7" t="s">
        <v>154</v>
      </c>
      <c r="C10" s="7" t="s">
        <v>155</v>
      </c>
      <c r="D10" s="7" t="str">
        <f>"0,6947"</f>
        <v>0,6947</v>
      </c>
      <c r="E10" s="8" t="s">
        <v>40</v>
      </c>
      <c r="F10" s="8" t="s">
        <v>156</v>
      </c>
      <c r="G10" s="7" t="s">
        <v>87</v>
      </c>
      <c r="H10" s="9" t="s">
        <v>30</v>
      </c>
      <c r="I10" s="7" t="s">
        <v>157</v>
      </c>
      <c r="J10" s="9"/>
      <c r="K10" s="7" t="s">
        <v>158</v>
      </c>
      <c r="L10" s="7" t="s">
        <v>86</v>
      </c>
      <c r="M10" s="9" t="s">
        <v>159</v>
      </c>
      <c r="N10" s="9"/>
      <c r="O10" s="7" t="s">
        <v>160</v>
      </c>
      <c r="P10" s="7" t="s">
        <v>31</v>
      </c>
      <c r="Q10" s="7" t="s">
        <v>32</v>
      </c>
      <c r="R10" s="9"/>
      <c r="S10" s="6" t="str">
        <f>"372,5"</f>
        <v>372,5</v>
      </c>
      <c r="T10" s="7" t="str">
        <f>"258,7758"</f>
        <v>258,7758</v>
      </c>
      <c r="U10" s="8" t="s">
        <v>34</v>
      </c>
    </row>
    <row r="12" spans="1:21" ht="15" x14ac:dyDescent="0.2">
      <c r="A12" s="42" t="s">
        <v>161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</row>
    <row r="13" spans="1:21" x14ac:dyDescent="0.2">
      <c r="A13" s="19" t="s">
        <v>163</v>
      </c>
      <c r="B13" s="20" t="s">
        <v>164</v>
      </c>
      <c r="C13" s="20" t="s">
        <v>165</v>
      </c>
      <c r="D13" s="20" t="str">
        <f>"0,6497"</f>
        <v>0,6497</v>
      </c>
      <c r="E13" s="21" t="s">
        <v>40</v>
      </c>
      <c r="F13" s="21" t="s">
        <v>41</v>
      </c>
      <c r="G13" s="20" t="s">
        <v>102</v>
      </c>
      <c r="H13" s="22" t="s">
        <v>103</v>
      </c>
      <c r="I13" s="22"/>
      <c r="J13" s="22"/>
      <c r="K13" s="20" t="s">
        <v>166</v>
      </c>
      <c r="L13" s="20" t="s">
        <v>115</v>
      </c>
      <c r="M13" s="22" t="s">
        <v>28</v>
      </c>
      <c r="N13" s="22"/>
      <c r="O13" s="20" t="s">
        <v>167</v>
      </c>
      <c r="P13" s="22" t="s">
        <v>103</v>
      </c>
      <c r="Q13" s="20" t="s">
        <v>103</v>
      </c>
      <c r="R13" s="22"/>
      <c r="S13" s="19" t="str">
        <f>"510,0"</f>
        <v>510,0</v>
      </c>
      <c r="T13" s="20" t="str">
        <f>"331,3725"</f>
        <v>331,3725</v>
      </c>
      <c r="U13" s="21" t="s">
        <v>168</v>
      </c>
    </row>
    <row r="14" spans="1:21" x14ac:dyDescent="0.2">
      <c r="A14" s="23" t="s">
        <v>170</v>
      </c>
      <c r="B14" s="24" t="s">
        <v>171</v>
      </c>
      <c r="C14" s="24" t="s">
        <v>172</v>
      </c>
      <c r="D14" s="24" t="str">
        <f>"0,6513"</f>
        <v>0,6513</v>
      </c>
      <c r="E14" s="25" t="s">
        <v>40</v>
      </c>
      <c r="F14" s="25" t="s">
        <v>41</v>
      </c>
      <c r="G14" s="24" t="s">
        <v>115</v>
      </c>
      <c r="H14" s="24" t="s">
        <v>28</v>
      </c>
      <c r="I14" s="26" t="s">
        <v>93</v>
      </c>
      <c r="J14" s="26"/>
      <c r="K14" s="26" t="s">
        <v>30</v>
      </c>
      <c r="L14" s="24" t="s">
        <v>109</v>
      </c>
      <c r="M14" s="26" t="s">
        <v>173</v>
      </c>
      <c r="N14" s="26"/>
      <c r="O14" s="24" t="s">
        <v>102</v>
      </c>
      <c r="P14" s="24" t="s">
        <v>120</v>
      </c>
      <c r="Q14" s="24" t="s">
        <v>42</v>
      </c>
      <c r="R14" s="26"/>
      <c r="S14" s="23" t="str">
        <f>"465,0"</f>
        <v>465,0</v>
      </c>
      <c r="T14" s="24" t="str">
        <f>"302,8545"</f>
        <v>302,8545</v>
      </c>
      <c r="U14" s="25" t="s">
        <v>34</v>
      </c>
    </row>
    <row r="16" spans="1:21" ht="15" x14ac:dyDescent="0.2">
      <c r="A16" s="42" t="s">
        <v>95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1" x14ac:dyDescent="0.2">
      <c r="A17" s="6" t="s">
        <v>175</v>
      </c>
      <c r="B17" s="7" t="s">
        <v>176</v>
      </c>
      <c r="C17" s="7" t="s">
        <v>177</v>
      </c>
      <c r="D17" s="7" t="str">
        <f>"0,6141"</f>
        <v>0,6141</v>
      </c>
      <c r="E17" s="8" t="s">
        <v>178</v>
      </c>
      <c r="F17" s="8" t="s">
        <v>179</v>
      </c>
      <c r="G17" s="7" t="s">
        <v>33</v>
      </c>
      <c r="H17" s="7" t="s">
        <v>101</v>
      </c>
      <c r="I17" s="7" t="s">
        <v>102</v>
      </c>
      <c r="J17" s="9"/>
      <c r="K17" s="7" t="s">
        <v>180</v>
      </c>
      <c r="L17" s="7" t="s">
        <v>93</v>
      </c>
      <c r="M17" s="7" t="s">
        <v>181</v>
      </c>
      <c r="N17" s="9"/>
      <c r="O17" s="7" t="s">
        <v>43</v>
      </c>
      <c r="P17" s="7" t="s">
        <v>182</v>
      </c>
      <c r="Q17" s="7" t="s">
        <v>63</v>
      </c>
      <c r="R17" s="9"/>
      <c r="S17" s="6" t="str">
        <f>"577,5"</f>
        <v>577,5</v>
      </c>
      <c r="T17" s="7" t="str">
        <f>"354,6716"</f>
        <v>354,6716</v>
      </c>
      <c r="U17" s="8" t="s">
        <v>34</v>
      </c>
    </row>
    <row r="19" spans="1:21" ht="15" x14ac:dyDescent="0.2">
      <c r="A19" s="42" t="s">
        <v>58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1" x14ac:dyDescent="0.2">
      <c r="A20" s="19" t="s">
        <v>184</v>
      </c>
      <c r="B20" s="20" t="s">
        <v>185</v>
      </c>
      <c r="C20" s="20" t="s">
        <v>186</v>
      </c>
      <c r="D20" s="20" t="str">
        <f>"0,5980"</f>
        <v>0,5980</v>
      </c>
      <c r="E20" s="21" t="s">
        <v>40</v>
      </c>
      <c r="F20" s="21" t="s">
        <v>41</v>
      </c>
      <c r="G20" s="20" t="s">
        <v>173</v>
      </c>
      <c r="H20" s="20" t="s">
        <v>187</v>
      </c>
      <c r="I20" s="20" t="s">
        <v>78</v>
      </c>
      <c r="J20" s="22"/>
      <c r="K20" s="20" t="s">
        <v>158</v>
      </c>
      <c r="L20" s="20" t="s">
        <v>86</v>
      </c>
      <c r="M20" s="20" t="s">
        <v>159</v>
      </c>
      <c r="N20" s="22"/>
      <c r="O20" s="20" t="s">
        <v>160</v>
      </c>
      <c r="P20" s="20" t="s">
        <v>33</v>
      </c>
      <c r="Q20" s="20" t="s">
        <v>120</v>
      </c>
      <c r="R20" s="22"/>
      <c r="S20" s="19" t="str">
        <f>"417,5"</f>
        <v>417,5</v>
      </c>
      <c r="T20" s="20" t="str">
        <f>"249,6650"</f>
        <v>249,6650</v>
      </c>
      <c r="U20" s="21" t="s">
        <v>188</v>
      </c>
    </row>
    <row r="21" spans="1:21" x14ac:dyDescent="0.2">
      <c r="A21" s="23" t="s">
        <v>190</v>
      </c>
      <c r="B21" s="24" t="s">
        <v>191</v>
      </c>
      <c r="C21" s="24" t="s">
        <v>192</v>
      </c>
      <c r="D21" s="24" t="str">
        <f>"0,5813"</f>
        <v>0,5813</v>
      </c>
      <c r="E21" s="25" t="s">
        <v>178</v>
      </c>
      <c r="F21" s="25" t="s">
        <v>41</v>
      </c>
      <c r="G21" s="26" t="s">
        <v>109</v>
      </c>
      <c r="H21" s="24" t="s">
        <v>78</v>
      </c>
      <c r="I21" s="24" t="s">
        <v>193</v>
      </c>
      <c r="J21" s="26"/>
      <c r="K21" s="24" t="s">
        <v>54</v>
      </c>
      <c r="L21" s="24" t="s">
        <v>194</v>
      </c>
      <c r="M21" s="24" t="s">
        <v>195</v>
      </c>
      <c r="N21" s="26"/>
      <c r="O21" s="24" t="s">
        <v>27</v>
      </c>
      <c r="P21" s="24" t="s">
        <v>28</v>
      </c>
      <c r="Q21" s="24" t="s">
        <v>32</v>
      </c>
      <c r="R21" s="26"/>
      <c r="S21" s="23" t="str">
        <f>"382,5"</f>
        <v>382,5</v>
      </c>
      <c r="T21" s="24" t="str">
        <f>"222,3473"</f>
        <v>222,3473</v>
      </c>
      <c r="U21" s="25" t="s">
        <v>196</v>
      </c>
    </row>
    <row r="23" spans="1:21" ht="15" x14ac:dyDescent="0.2">
      <c r="A23" s="42" t="s">
        <v>35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1:21" x14ac:dyDescent="0.2">
      <c r="A24" s="6" t="s">
        <v>198</v>
      </c>
      <c r="B24" s="7" t="s">
        <v>199</v>
      </c>
      <c r="C24" s="7" t="s">
        <v>200</v>
      </c>
      <c r="D24" s="7" t="str">
        <f>"0,5759"</f>
        <v>0,5759</v>
      </c>
      <c r="E24" s="8" t="s">
        <v>40</v>
      </c>
      <c r="F24" s="8" t="s">
        <v>41</v>
      </c>
      <c r="G24" s="7" t="s">
        <v>160</v>
      </c>
      <c r="H24" s="7" t="s">
        <v>27</v>
      </c>
      <c r="I24" s="7" t="s">
        <v>28</v>
      </c>
      <c r="J24" s="9"/>
      <c r="K24" s="9" t="s">
        <v>173</v>
      </c>
      <c r="L24" s="7" t="s">
        <v>78</v>
      </c>
      <c r="M24" s="7" t="s">
        <v>166</v>
      </c>
      <c r="N24" s="9"/>
      <c r="O24" s="7" t="s">
        <v>32</v>
      </c>
      <c r="P24" s="7" t="s">
        <v>102</v>
      </c>
      <c r="Q24" s="7" t="s">
        <v>42</v>
      </c>
      <c r="R24" s="9"/>
      <c r="S24" s="6" t="str">
        <f>"487,5"</f>
        <v>487,5</v>
      </c>
      <c r="T24" s="7" t="str">
        <f>"280,7269"</f>
        <v>280,7269</v>
      </c>
      <c r="U24" s="8" t="s">
        <v>201</v>
      </c>
    </row>
    <row r="26" spans="1:21" ht="15" x14ac:dyDescent="0.2">
      <c r="A26" s="42" t="s">
        <v>65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</row>
    <row r="27" spans="1:21" x14ac:dyDescent="0.2">
      <c r="A27" s="19" t="s">
        <v>203</v>
      </c>
      <c r="B27" s="20" t="s">
        <v>204</v>
      </c>
      <c r="C27" s="20" t="s">
        <v>205</v>
      </c>
      <c r="D27" s="20" t="str">
        <f>"0,5541"</f>
        <v>0,5541</v>
      </c>
      <c r="E27" s="21" t="s">
        <v>40</v>
      </c>
      <c r="F27" s="21" t="s">
        <v>41</v>
      </c>
      <c r="G27" s="20" t="s">
        <v>206</v>
      </c>
      <c r="H27" s="20" t="s">
        <v>207</v>
      </c>
      <c r="I27" s="20" t="s">
        <v>208</v>
      </c>
      <c r="J27" s="22"/>
      <c r="K27" s="20" t="s">
        <v>193</v>
      </c>
      <c r="L27" s="20" t="s">
        <v>28</v>
      </c>
      <c r="M27" s="20" t="s">
        <v>32</v>
      </c>
      <c r="N27" s="22"/>
      <c r="O27" s="20" t="s">
        <v>32</v>
      </c>
      <c r="P27" s="20" t="s">
        <v>103</v>
      </c>
      <c r="Q27" s="20" t="s">
        <v>42</v>
      </c>
      <c r="R27" s="22"/>
      <c r="S27" s="19" t="str">
        <f>"592,5"</f>
        <v>592,5</v>
      </c>
      <c r="T27" s="20" t="str">
        <f>"328,2746"</f>
        <v>328,2746</v>
      </c>
      <c r="U27" s="21" t="s">
        <v>34</v>
      </c>
    </row>
    <row r="28" spans="1:21" x14ac:dyDescent="0.2">
      <c r="A28" s="23" t="s">
        <v>203</v>
      </c>
      <c r="B28" s="24" t="s">
        <v>209</v>
      </c>
      <c r="C28" s="24" t="s">
        <v>205</v>
      </c>
      <c r="D28" s="24" t="str">
        <f>"0,5541"</f>
        <v>0,5541</v>
      </c>
      <c r="E28" s="25" t="s">
        <v>40</v>
      </c>
      <c r="F28" s="25" t="s">
        <v>41</v>
      </c>
      <c r="G28" s="24" t="s">
        <v>206</v>
      </c>
      <c r="H28" s="24" t="s">
        <v>207</v>
      </c>
      <c r="I28" s="24" t="s">
        <v>208</v>
      </c>
      <c r="J28" s="26"/>
      <c r="K28" s="24" t="s">
        <v>193</v>
      </c>
      <c r="L28" s="24" t="s">
        <v>28</v>
      </c>
      <c r="M28" s="24" t="s">
        <v>32</v>
      </c>
      <c r="N28" s="26"/>
      <c r="O28" s="24" t="s">
        <v>32</v>
      </c>
      <c r="P28" s="24" t="s">
        <v>103</v>
      </c>
      <c r="Q28" s="24" t="s">
        <v>42</v>
      </c>
      <c r="R28" s="26"/>
      <c r="S28" s="23" t="str">
        <f>"592,5"</f>
        <v>592,5</v>
      </c>
      <c r="T28" s="24" t="str">
        <f>"328,2746"</f>
        <v>328,2746</v>
      </c>
      <c r="U28" s="25" t="s">
        <v>34</v>
      </c>
    </row>
    <row r="30" spans="1:21" ht="15" x14ac:dyDescent="0.2">
      <c r="E30" s="10" t="s">
        <v>760</v>
      </c>
    </row>
    <row r="31" spans="1:21" ht="15" x14ac:dyDescent="0.2">
      <c r="E31" s="10" t="s">
        <v>761</v>
      </c>
    </row>
    <row r="32" spans="1:21" ht="15" x14ac:dyDescent="0.2">
      <c r="E32" s="10" t="s">
        <v>762</v>
      </c>
    </row>
    <row r="33" spans="1:5" ht="15" x14ac:dyDescent="0.2">
      <c r="E33" s="10" t="s">
        <v>763</v>
      </c>
    </row>
    <row r="34" spans="1:5" ht="15" x14ac:dyDescent="0.2">
      <c r="E34" s="10" t="s">
        <v>765</v>
      </c>
    </row>
    <row r="35" spans="1:5" ht="15" x14ac:dyDescent="0.2">
      <c r="E35" s="10" t="s">
        <v>764</v>
      </c>
    </row>
    <row r="36" spans="1:5" ht="15" x14ac:dyDescent="0.2">
      <c r="E36" s="10"/>
    </row>
    <row r="38" spans="1:5" ht="18" x14ac:dyDescent="0.25">
      <c r="A38" s="11" t="s">
        <v>44</v>
      </c>
      <c r="B38" s="12"/>
    </row>
    <row r="39" spans="1:5" ht="15" x14ac:dyDescent="0.2">
      <c r="A39" s="13" t="s">
        <v>125</v>
      </c>
      <c r="B39" s="14"/>
    </row>
    <row r="40" spans="1:5" ht="14.25" x14ac:dyDescent="0.2">
      <c r="A40" s="16"/>
      <c r="B40" s="17" t="s">
        <v>46</v>
      </c>
    </row>
    <row r="41" spans="1:5" ht="15" x14ac:dyDescent="0.2">
      <c r="A41" s="18" t="s">
        <v>47</v>
      </c>
      <c r="B41" s="18" t="s">
        <v>48</v>
      </c>
      <c r="C41" s="18" t="s">
        <v>49</v>
      </c>
      <c r="D41" s="18" t="s">
        <v>50</v>
      </c>
      <c r="E41" s="18" t="s">
        <v>51</v>
      </c>
    </row>
    <row r="42" spans="1:5" x14ac:dyDescent="0.2">
      <c r="A42" s="15" t="s">
        <v>137</v>
      </c>
      <c r="B42" s="1" t="s">
        <v>46</v>
      </c>
      <c r="C42" s="1" t="s">
        <v>210</v>
      </c>
      <c r="D42" s="1" t="s">
        <v>167</v>
      </c>
      <c r="E42" s="4" t="s">
        <v>211</v>
      </c>
    </row>
    <row r="45" spans="1:5" ht="15" x14ac:dyDescent="0.2">
      <c r="A45" s="13" t="s">
        <v>45</v>
      </c>
      <c r="B45" s="14"/>
    </row>
    <row r="46" spans="1:5" ht="14.25" x14ac:dyDescent="0.2">
      <c r="A46" s="16"/>
      <c r="B46" s="17" t="s">
        <v>212</v>
      </c>
    </row>
    <row r="47" spans="1:5" ht="15" x14ac:dyDescent="0.2">
      <c r="A47" s="18" t="s">
        <v>47</v>
      </c>
      <c r="B47" s="18" t="s">
        <v>48</v>
      </c>
      <c r="C47" s="18" t="s">
        <v>49</v>
      </c>
      <c r="D47" s="18" t="s">
        <v>50</v>
      </c>
      <c r="E47" s="18" t="s">
        <v>51</v>
      </c>
    </row>
    <row r="48" spans="1:5" x14ac:dyDescent="0.2">
      <c r="A48" s="15" t="s">
        <v>183</v>
      </c>
      <c r="B48" s="1" t="s">
        <v>213</v>
      </c>
      <c r="C48" s="1" t="s">
        <v>87</v>
      </c>
      <c r="D48" s="1" t="s">
        <v>214</v>
      </c>
      <c r="E48" s="4" t="s">
        <v>215</v>
      </c>
    </row>
    <row r="50" spans="1:5" ht="14.25" x14ac:dyDescent="0.2">
      <c r="A50" s="16"/>
      <c r="B50" s="17" t="s">
        <v>46</v>
      </c>
    </row>
    <row r="51" spans="1:5" ht="15" x14ac:dyDescent="0.2">
      <c r="A51" s="18" t="s">
        <v>47</v>
      </c>
      <c r="B51" s="18" t="s">
        <v>48</v>
      </c>
      <c r="C51" s="18" t="s">
        <v>49</v>
      </c>
      <c r="D51" s="18" t="s">
        <v>50</v>
      </c>
      <c r="E51" s="18" t="s">
        <v>51</v>
      </c>
    </row>
    <row r="52" spans="1:5" x14ac:dyDescent="0.2">
      <c r="A52" s="15" t="s">
        <v>174</v>
      </c>
      <c r="B52" s="1" t="s">
        <v>46</v>
      </c>
      <c r="C52" s="1" t="s">
        <v>85</v>
      </c>
      <c r="D52" s="1" t="s">
        <v>216</v>
      </c>
      <c r="E52" s="4" t="s">
        <v>217</v>
      </c>
    </row>
    <row r="53" spans="1:5" x14ac:dyDescent="0.2">
      <c r="A53" s="15" t="s">
        <v>162</v>
      </c>
      <c r="B53" s="1" t="s">
        <v>46</v>
      </c>
      <c r="C53" s="1" t="s">
        <v>194</v>
      </c>
      <c r="D53" s="1" t="s">
        <v>218</v>
      </c>
      <c r="E53" s="4" t="s">
        <v>219</v>
      </c>
    </row>
    <row r="54" spans="1:5" x14ac:dyDescent="0.2">
      <c r="A54" s="15" t="s">
        <v>202</v>
      </c>
      <c r="B54" s="1" t="s">
        <v>46</v>
      </c>
      <c r="C54" s="1" t="s">
        <v>78</v>
      </c>
      <c r="D54" s="1" t="s">
        <v>220</v>
      </c>
      <c r="E54" s="4" t="s">
        <v>221</v>
      </c>
    </row>
    <row r="55" spans="1:5" x14ac:dyDescent="0.2">
      <c r="A55" s="15" t="s">
        <v>169</v>
      </c>
      <c r="B55" s="1" t="s">
        <v>46</v>
      </c>
      <c r="C55" s="1" t="s">
        <v>194</v>
      </c>
      <c r="D55" s="1" t="s">
        <v>222</v>
      </c>
      <c r="E55" s="4" t="s">
        <v>223</v>
      </c>
    </row>
    <row r="56" spans="1:5" x14ac:dyDescent="0.2">
      <c r="A56" s="15" t="s">
        <v>197</v>
      </c>
      <c r="B56" s="1" t="s">
        <v>46</v>
      </c>
      <c r="C56" s="1" t="s">
        <v>30</v>
      </c>
      <c r="D56" s="1" t="s">
        <v>224</v>
      </c>
      <c r="E56" s="4" t="s">
        <v>225</v>
      </c>
    </row>
    <row r="57" spans="1:5" x14ac:dyDescent="0.2">
      <c r="A57" s="15" t="s">
        <v>152</v>
      </c>
      <c r="B57" s="1" t="s">
        <v>46</v>
      </c>
      <c r="C57" s="1" t="s">
        <v>54</v>
      </c>
      <c r="D57" s="1" t="s">
        <v>226</v>
      </c>
      <c r="E57" s="4" t="s">
        <v>227</v>
      </c>
    </row>
    <row r="58" spans="1:5" x14ac:dyDescent="0.2">
      <c r="A58" s="15" t="s">
        <v>189</v>
      </c>
      <c r="B58" s="1" t="s">
        <v>46</v>
      </c>
      <c r="C58" s="1" t="s">
        <v>87</v>
      </c>
      <c r="D58" s="1" t="s">
        <v>228</v>
      </c>
      <c r="E58" s="4" t="s">
        <v>229</v>
      </c>
    </row>
    <row r="60" spans="1:5" ht="14.25" x14ac:dyDescent="0.2">
      <c r="A60" s="16"/>
      <c r="B60" s="17" t="s">
        <v>126</v>
      </c>
    </row>
    <row r="61" spans="1:5" ht="15" x14ac:dyDescent="0.2">
      <c r="A61" s="18" t="s">
        <v>47</v>
      </c>
      <c r="B61" s="18" t="s">
        <v>48</v>
      </c>
      <c r="C61" s="18" t="s">
        <v>49</v>
      </c>
      <c r="D61" s="18" t="s">
        <v>50</v>
      </c>
      <c r="E61" s="18" t="s">
        <v>51</v>
      </c>
    </row>
    <row r="62" spans="1:5" x14ac:dyDescent="0.2">
      <c r="A62" s="15" t="s">
        <v>202</v>
      </c>
      <c r="B62" s="1" t="s">
        <v>230</v>
      </c>
      <c r="C62" s="1" t="s">
        <v>78</v>
      </c>
      <c r="D62" s="1" t="s">
        <v>220</v>
      </c>
      <c r="E62" s="4" t="s">
        <v>221</v>
      </c>
    </row>
  </sheetData>
  <mergeCells count="18">
    <mergeCell ref="A1:U2"/>
    <mergeCell ref="A3:A4"/>
    <mergeCell ref="B3:B4"/>
    <mergeCell ref="C3:C4"/>
    <mergeCell ref="D3:D4"/>
    <mergeCell ref="E3:E4"/>
    <mergeCell ref="F3:F4"/>
    <mergeCell ref="G3:R3"/>
    <mergeCell ref="S3:S4"/>
    <mergeCell ref="T3:T4"/>
    <mergeCell ref="A23:T23"/>
    <mergeCell ref="A26:T26"/>
    <mergeCell ref="U3:U4"/>
    <mergeCell ref="A5:T5"/>
    <mergeCell ref="A9:T9"/>
    <mergeCell ref="A12:T12"/>
    <mergeCell ref="A16:T16"/>
    <mergeCell ref="A19:T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WPC НЖ 1 вес</vt:lpstr>
      <vt:lpstr>AWPC НЖ 1 вес</vt:lpstr>
      <vt:lpstr>AWPC б_э тяга</vt:lpstr>
      <vt:lpstr>WPC б_э тяга</vt:lpstr>
      <vt:lpstr>AWPC стд. софт эк. жим</vt:lpstr>
      <vt:lpstr>AWPC 1 слой жим</vt:lpstr>
      <vt:lpstr>AWPC б_э жим</vt:lpstr>
      <vt:lpstr>AWPC Класс. ПЛ RAW</vt:lpstr>
      <vt:lpstr>AWPC б_э ПЛ</vt:lpstr>
      <vt:lpstr>WPC б_э жим</vt:lpstr>
      <vt:lpstr>WPC класс. ПЛ RAW</vt:lpstr>
      <vt:lpstr>WPC б_э ПЛ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Franz Rode</cp:lastModifiedBy>
  <cp:lastPrinted>2015-07-16T19:10:53Z</cp:lastPrinted>
  <dcterms:created xsi:type="dcterms:W3CDTF">2002-06-16T13:36:44Z</dcterms:created>
  <dcterms:modified xsi:type="dcterms:W3CDTF">2019-02-20T18:24:18Z</dcterms:modified>
</cp:coreProperties>
</file>