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4"/>
  </bookViews>
  <sheets>
    <sheet name="AWPC MP soft eq. BP" sheetId="1" state="visible" r:id="rId2"/>
    <sheet name="MR BP 1_2 bw. AWPC" sheetId="2" state="visible" r:id="rId3"/>
    <sheet name="MR BP 1 bw. AWPC" sheetId="3" state="visible" r:id="rId4"/>
    <sheet name="MR BP 1 bw. WPC" sheetId="4" state="visible" r:id="rId5"/>
    <sheet name="«Excalibur»" sheetId="5" state="visible" r:id="rId6"/>
    <sheet name="«Rus brick»" sheetId="6" state="visible" r:id="rId7"/>
    <sheet name="«Rus Axle»" sheetId="7" state="visible" r:id="rId8"/>
    <sheet name="«Russian Roullette»" sheetId="8" state="visible" r:id="rId9"/>
    <sheet name="AWPA RAW PP" sheetId="9" state="visible" r:id="rId10"/>
    <sheet name="WPA raw SQ" sheetId="10" state="visible" r:id="rId11"/>
    <sheet name="WPA SC" sheetId="11" state="visible" r:id="rId12"/>
    <sheet name="AWPA SC" sheetId="12" state="visible" r:id="rId13"/>
    <sheet name="AWPA OB" sheetId="13" state="visible" r:id="rId14"/>
    <sheet name="AWPA raw PL" sheetId="14" state="visible" r:id="rId15"/>
    <sheet name="AWPA raw BP" sheetId="15" state="visible" r:id="rId16"/>
    <sheet name="AWPA m.ply DL" sheetId="16" state="visible" r:id="rId17"/>
    <sheet name="AWPA raw DL" sheetId="17" state="visible" r:id="rId18"/>
    <sheet name="WPA raw PL" sheetId="18" state="visible" r:id="rId19"/>
    <sheet name="WPA raw BP" sheetId="19" state="visible" r:id="rId20"/>
    <sheet name="WPA raw DL" sheetId="20" state="visible" r:id="rId21"/>
  </sheets>
  <definedNames>
    <definedName function="false" hidden="false" localSheetId="19" name="_FilterDatabase" vbProcedure="false">'WPA raw DL'!$A$1:$K$3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<sst xmlns="http://schemas.openxmlformats.org/spreadsheetml/2006/main" count="2534" uniqueCount="714">
  <si>
    <t xml:space="preserve">Open Europe Cup
AWPC st. soft eq. benchpress
Moscow/Russia 10 - 11 april 2021 y.</t>
  </si>
  <si>
    <t xml:space="preserve">Name</t>
  </si>
  <si>
    <t xml:space="preserve">Age Class
Bith date/Age</t>
  </si>
  <si>
    <t xml:space="preserve">Body
weight</t>
  </si>
  <si>
    <t xml:space="preserve">Gloss</t>
  </si>
  <si>
    <t xml:space="preserve">Team</t>
  </si>
  <si>
    <t xml:space="preserve">Town/Region</t>
  </si>
  <si>
    <t xml:space="preserve">Benchpress</t>
  </si>
  <si>
    <t xml:space="preserve">Result</t>
  </si>
  <si>
    <t xml:space="preserve">Pts</t>
  </si>
  <si>
    <t xml:space="preserve">Coach</t>
  </si>
  <si>
    <t xml:space="preserve">Rec</t>
  </si>
  <si>
    <t xml:space="preserve">Body Weight Category  75</t>
  </si>
  <si>
    <t xml:space="preserve">1. Limareva Elena</t>
  </si>
  <si>
    <t xml:space="preserve">Masters 50-54 (20.04.1966)/54</t>
  </si>
  <si>
    <t xml:space="preserve">69,80</t>
  </si>
  <si>
    <t xml:space="preserve">lichno</t>
  </si>
  <si>
    <t xml:space="preserve">Moskva</t>
  </si>
  <si>
    <t xml:space="preserve">100,0</t>
  </si>
  <si>
    <t xml:space="preserve">110,0</t>
  </si>
  <si>
    <t xml:space="preserve">120,0</t>
  </si>
  <si>
    <t xml:space="preserve">Body Weight Category  110</t>
  </si>
  <si>
    <t xml:space="preserve">1. Gamaev Aleksandr</t>
  </si>
  <si>
    <t xml:space="preserve">Open (06.02.1983)/38</t>
  </si>
  <si>
    <t xml:space="preserve">106,60</t>
  </si>
  <si>
    <t xml:space="preserve">Dinamo-32</t>
  </si>
  <si>
    <t xml:space="preserve">220,0</t>
  </si>
  <si>
    <t xml:space="preserve">225,0</t>
  </si>
  <si>
    <t xml:space="preserve">230,0</t>
  </si>
  <si>
    <t xml:space="preserve">Meet director:</t>
  </si>
  <si>
    <t xml:space="preserve">Head secretary:</t>
  </si>
  <si>
    <t xml:space="preserve">Head Referee:</t>
  </si>
  <si>
    <t xml:space="preserve">Side Referyy Left:</t>
  </si>
  <si>
    <t xml:space="preserve">Side Referyy Right:</t>
  </si>
  <si>
    <t xml:space="preserve">Fligth secretary:</t>
  </si>
  <si>
    <t xml:space="preserve">List absolute winners</t>
  </si>
  <si>
    <t xml:space="preserve">Women</t>
  </si>
  <si>
    <t xml:space="preserve">Masters</t>
  </si>
  <si>
    <t xml:space="preserve">Age class</t>
  </si>
  <si>
    <t xml:space="preserve">WC</t>
  </si>
  <si>
    <t xml:space="preserve">Best</t>
  </si>
  <si>
    <t xml:space="preserve">Limareva Elena</t>
  </si>
  <si>
    <t xml:space="preserve">Masters 50-54</t>
  </si>
  <si>
    <t xml:space="preserve">75</t>
  </si>
  <si>
    <t xml:space="preserve">126,8823</t>
  </si>
  <si>
    <t xml:space="preserve">Man</t>
  </si>
  <si>
    <t xml:space="preserve">Open</t>
  </si>
  <si>
    <t xml:space="preserve">Gamaev Aleksandr</t>
  </si>
  <si>
    <t xml:space="preserve">110</t>
  </si>
  <si>
    <t xml:space="preserve">130,5940</t>
  </si>
  <si>
    <t xml:space="preserve">6-th OPEN EUROPE CHAMPIONS CUP WPA/AWPA/WAA
Multy-repeat BP 1/2 bw. AWPC
Moscow/Russia 10 - 11 april 2021 y.</t>
  </si>
  <si>
    <t xml:space="preserve">Multi.rpt. benchpress</t>
  </si>
  <si>
    <t xml:space="preserve">Tonnage</t>
  </si>
  <si>
    <t xml:space="preserve">Weight</t>
  </si>
  <si>
    <t xml:space="preserve">Rpt</t>
  </si>
  <si>
    <t xml:space="preserve">Body Weight Category  52</t>
  </si>
  <si>
    <t xml:space="preserve">1. Enina Elena</t>
  </si>
  <si>
    <t xml:space="preserve">Open (10.05.1989)/31</t>
  </si>
  <si>
    <t xml:space="preserve">50,00</t>
  </si>
  <si>
    <t xml:space="preserve">Kursk/Kurskaya oblast</t>
  </si>
  <si>
    <t xml:space="preserve">25,0</t>
  </si>
  <si>
    <t xml:space="preserve">54,0</t>
  </si>
  <si>
    <t xml:space="preserve">Enina Elena</t>
  </si>
  <si>
    <t xml:space="preserve">52</t>
  </si>
  <si>
    <t xml:space="preserve">1350,0</t>
  </si>
  <si>
    <t xml:space="preserve">1542,1050</t>
  </si>
  <si>
    <t xml:space="preserve">6-th OPEN EUROPE CHAMPIONS CUP WPA/AWPA/WAA
Multy-repeat BP 1 bw. AWPC
Moscow/Russia 10 - 11 april 2021 y.</t>
  </si>
  <si>
    <t xml:space="preserve">1. Potapov Aleksandr</t>
  </si>
  <si>
    <t xml:space="preserve">Open (31.03.1988)/33</t>
  </si>
  <si>
    <t xml:space="preserve">72,10</t>
  </si>
  <si>
    <t xml:space="preserve">72,5</t>
  </si>
  <si>
    <t xml:space="preserve">21,0</t>
  </si>
  <si>
    <t xml:space="preserve">1. Krikunov Yuriy</t>
  </si>
  <si>
    <t xml:space="preserve">Masters 60+ (25.05.1957)/63</t>
  </si>
  <si>
    <t xml:space="preserve">74,10</t>
  </si>
  <si>
    <t xml:space="preserve">Vladivostok/Primorskiy kray</t>
  </si>
  <si>
    <t xml:space="preserve">75,0</t>
  </si>
  <si>
    <t xml:space="preserve">12,0</t>
  </si>
  <si>
    <t xml:space="preserve">Body Weight Category  90</t>
  </si>
  <si>
    <t xml:space="preserve">1. Bernyaev Igor</t>
  </si>
  <si>
    <t xml:space="preserve">Masters 50-59 (30.11.1968)/52</t>
  </si>
  <si>
    <t xml:space="preserve">87,80</t>
  </si>
  <si>
    <t xml:space="preserve">90,0</t>
  </si>
  <si>
    <t xml:space="preserve">13,0</t>
  </si>
  <si>
    <t xml:space="preserve">1. Bekov Kairat</t>
  </si>
  <si>
    <t xml:space="preserve">Open (31.03.1971)/50</t>
  </si>
  <si>
    <t xml:space="preserve">101,90</t>
  </si>
  <si>
    <t xml:space="preserve">Kazakhstan/</t>
  </si>
  <si>
    <t xml:space="preserve">102,5</t>
  </si>
  <si>
    <t xml:space="preserve">18,0</t>
  </si>
  <si>
    <t xml:space="preserve">Potapov Aleksandr</t>
  </si>
  <si>
    <t xml:space="preserve">1522,5</t>
  </si>
  <si>
    <t xml:space="preserve">1080,1376</t>
  </si>
  <si>
    <t xml:space="preserve">Bekov Kairat</t>
  </si>
  <si>
    <t xml:space="preserve">1845,0</t>
  </si>
  <si>
    <t xml:space="preserve">1064,3805</t>
  </si>
  <si>
    <t xml:space="preserve">Krikunov Yuriy</t>
  </si>
  <si>
    <t xml:space="preserve">Masters 60+</t>
  </si>
  <si>
    <t xml:space="preserve">900,0</t>
  </si>
  <si>
    <t xml:space="preserve">888,4518</t>
  </si>
  <si>
    <t xml:space="preserve">Bernyaev Igor</t>
  </si>
  <si>
    <t xml:space="preserve">Masters 50-59</t>
  </si>
  <si>
    <t xml:space="preserve">90</t>
  </si>
  <si>
    <t xml:space="preserve">1170,0</t>
  </si>
  <si>
    <t xml:space="preserve">845,7726</t>
  </si>
  <si>
    <t xml:space="preserve">6-th OPEN EUROPE CHAMPIONS CUP WPA/AWPA/WAA
Multy-repeat BP 1 bw. WPC
Moscow/Russia 10 - 11 april 2021 y.</t>
  </si>
  <si>
    <t xml:space="preserve">1. Karnaushkina Irina</t>
  </si>
  <si>
    <t xml:space="preserve">Masters 40-49 (30.06.1972)/48</t>
  </si>
  <si>
    <t xml:space="preserve">51,20</t>
  </si>
  <si>
    <t xml:space="preserve">52,5</t>
  </si>
  <si>
    <t xml:space="preserve">1. Petruk Aleksandr</t>
  </si>
  <si>
    <t xml:space="preserve">Open (18.09.1978)/42</t>
  </si>
  <si>
    <t xml:space="preserve">69,90</t>
  </si>
  <si>
    <t xml:space="preserve">70,0</t>
  </si>
  <si>
    <t xml:space="preserve">53,0</t>
  </si>
  <si>
    <t xml:space="preserve">2. Cheglakov Aleksandr</t>
  </si>
  <si>
    <t xml:space="preserve">Open (05.04.1985)/36</t>
  </si>
  <si>
    <t xml:space="preserve">73,70</t>
  </si>
  <si>
    <t xml:space="preserve">Yaransk/Kirovskaya oblast</t>
  </si>
  <si>
    <t xml:space="preserve">26,0</t>
  </si>
  <si>
    <t xml:space="preserve">Karnaushkina Irina</t>
  </si>
  <si>
    <t xml:space="preserve">Masters 40-49</t>
  </si>
  <si>
    <t xml:space="preserve">1102,5</t>
  </si>
  <si>
    <t xml:space="preserve">1356,0269</t>
  </si>
  <si>
    <t xml:space="preserve">Petruk Aleksandr</t>
  </si>
  <si>
    <t xml:space="preserve">3710,0</t>
  </si>
  <si>
    <t xml:space="preserve">2697,5411</t>
  </si>
  <si>
    <t xml:space="preserve">Cheglakov Aleksandr</t>
  </si>
  <si>
    <t xml:space="preserve">1950,0</t>
  </si>
  <si>
    <t xml:space="preserve">1360,2225</t>
  </si>
  <si>
    <t xml:space="preserve">6-th OPEN EUROPE CHAMPIONS CUP WPA/AWPA/WAA
«Excalibur»
Moscow/Russia 10 - 11 april 2021 y.</t>
  </si>
  <si>
    <t xml:space="preserve">Armlift</t>
  </si>
  <si>
    <t xml:space="preserve">Body Weight Category  70</t>
  </si>
  <si>
    <t xml:space="preserve">1. Katkova Sofya</t>
  </si>
  <si>
    <t xml:space="preserve">Open (12.03.1999)/22</t>
  </si>
  <si>
    <t xml:space="preserve">65,20</t>
  </si>
  <si>
    <t xml:space="preserve">RGAU-MSKhA</t>
  </si>
  <si>
    <t xml:space="preserve">55,0</t>
  </si>
  <si>
    <t xml:space="preserve">60,0</t>
  </si>
  <si>
    <t xml:space="preserve">65,0</t>
  </si>
  <si>
    <t xml:space="preserve">1. Bakhramov David</t>
  </si>
  <si>
    <t xml:space="preserve">Junior (30.03.2001)/20</t>
  </si>
  <si>
    <t xml:space="preserve">69,10</t>
  </si>
  <si>
    <t xml:space="preserve">80,0</t>
  </si>
  <si>
    <t xml:space="preserve">95,0</t>
  </si>
  <si>
    <t xml:space="preserve">2. Pashaliev Zakir</t>
  </si>
  <si>
    <t xml:space="preserve">Junior (30.09.2002)/18</t>
  </si>
  <si>
    <t xml:space="preserve">59,00</t>
  </si>
  <si>
    <t xml:space="preserve">1. Kochetkov Yaroslav</t>
  </si>
  <si>
    <t xml:space="preserve">Open (04.04.1999)/22</t>
  </si>
  <si>
    <t xml:space="preserve">69,40</t>
  </si>
  <si>
    <t xml:space="preserve">Master 40+ (18.09.1978)/42</t>
  </si>
  <si>
    <t xml:space="preserve">2. Nikitchenko Sergey</t>
  </si>
  <si>
    <t xml:space="preserve">Master 40+ (10.09.1978)/42</t>
  </si>
  <si>
    <t xml:space="preserve">Body Weight Category  80</t>
  </si>
  <si>
    <t xml:space="preserve">1. Umerenkov Daniil</t>
  </si>
  <si>
    <t xml:space="preserve">Junior (01.03.2004)/17</t>
  </si>
  <si>
    <t xml:space="preserve">75,00</t>
  </si>
  <si>
    <t xml:space="preserve">85,0</t>
  </si>
  <si>
    <t xml:space="preserve">2. Ratkevich Ilya</t>
  </si>
  <si>
    <t xml:space="preserve">Junior (30.07.2001)/19</t>
  </si>
  <si>
    <t xml:space="preserve">74,90</t>
  </si>
  <si>
    <t xml:space="preserve">3. Bolyshov Daniil</t>
  </si>
  <si>
    <t xml:space="preserve">Junior (24.10.2002)/18</t>
  </si>
  <si>
    <t xml:space="preserve">78,00</t>
  </si>
  <si>
    <t xml:space="preserve">1. Gorshkov Anton</t>
  </si>
  <si>
    <t xml:space="preserve">Open (25.08.1988)/32</t>
  </si>
  <si>
    <t xml:space="preserve">77,50</t>
  </si>
  <si>
    <t xml:space="preserve">2. Umerenkov Daniil</t>
  </si>
  <si>
    <t xml:space="preserve">Open (01.03.2004)/17</t>
  </si>
  <si>
    <t xml:space="preserve">Master 40+ (25.05.1957)/63</t>
  </si>
  <si>
    <t xml:space="preserve">40,0</t>
  </si>
  <si>
    <t xml:space="preserve">50,0</t>
  </si>
  <si>
    <t xml:space="preserve">1. Ksenofontov Aleksey</t>
  </si>
  <si>
    <t xml:space="preserve">Open (17.03.1998)/23</t>
  </si>
  <si>
    <t xml:space="preserve">81,70</t>
  </si>
  <si>
    <t xml:space="preserve">2. Volodin Victor</t>
  </si>
  <si>
    <t xml:space="preserve">Open (06.01.1987)/34</t>
  </si>
  <si>
    <t xml:space="preserve">88,70</t>
  </si>
  <si>
    <t xml:space="preserve">Body Weight Category  100</t>
  </si>
  <si>
    <t xml:space="preserve">1. Medvedev Danila</t>
  </si>
  <si>
    <t xml:space="preserve">Junior (26.03.2001)/20</t>
  </si>
  <si>
    <t xml:space="preserve">93,80</t>
  </si>
  <si>
    <t xml:space="preserve">105,0</t>
  </si>
  <si>
    <t xml:space="preserve">Katkova Sofya</t>
  </si>
  <si>
    <t xml:space="preserve">70</t>
  </si>
  <si>
    <t xml:space="preserve">55,4640</t>
  </si>
  <si>
    <t xml:space="preserve">Junior</t>
  </si>
  <si>
    <t xml:space="preserve">Bakhramov David</t>
  </si>
  <si>
    <t xml:space="preserve">66,0555</t>
  </si>
  <si>
    <t xml:space="preserve">Medvedev Danila</t>
  </si>
  <si>
    <t xml:space="preserve">100</t>
  </si>
  <si>
    <t xml:space="preserve">65,8570</t>
  </si>
  <si>
    <t xml:space="preserve">Pashaliev Zakir</t>
  </si>
  <si>
    <t xml:space="preserve">59,2655</t>
  </si>
  <si>
    <t xml:space="preserve">Umerenkov Daniil</t>
  </si>
  <si>
    <t xml:space="preserve">80</t>
  </si>
  <si>
    <t xml:space="preserve">58,5267</t>
  </si>
  <si>
    <t xml:space="preserve">Ratkevich Ilya</t>
  </si>
  <si>
    <t xml:space="preserve">55,1360</t>
  </si>
  <si>
    <t xml:space="preserve">Bolyshov Daniil</t>
  </si>
  <si>
    <t xml:space="preserve">53,5480</t>
  </si>
  <si>
    <t xml:space="preserve">Ksenofontov Aleksey</t>
  </si>
  <si>
    <t xml:space="preserve">61,6265</t>
  </si>
  <si>
    <t xml:space="preserve">Gorshkov Anton</t>
  </si>
  <si>
    <t xml:space="preserve">60,5160</t>
  </si>
  <si>
    <t xml:space="preserve">Volodin Victor</t>
  </si>
  <si>
    <t xml:space="preserve">52,4323</t>
  </si>
  <si>
    <t xml:space="preserve">Kochetkov Yaroslav</t>
  </si>
  <si>
    <t xml:space="preserve">51,1945</t>
  </si>
  <si>
    <t xml:space="preserve">Master</t>
  </si>
  <si>
    <t xml:space="preserve">Master 40+</t>
  </si>
  <si>
    <t xml:space="preserve">54,2943</t>
  </si>
  <si>
    <t xml:space="preserve">51,9149</t>
  </si>
  <si>
    <t xml:space="preserve">Nikitchenko Sergey</t>
  </si>
  <si>
    <t xml:space="preserve">48,2067</t>
  </si>
  <si>
    <t xml:space="preserve">6-th OPEN EUROPE CHAMPIONS CUP WPA/AWPA/WAA
«Russian brick»
Moscow/Russia 10 - 11 april 2021 y.</t>
  </si>
  <si>
    <t xml:space="preserve">24,0</t>
  </si>
  <si>
    <t xml:space="preserve">34,0</t>
  </si>
  <si>
    <t xml:space="preserve">44,0</t>
  </si>
  <si>
    <t xml:space="preserve">49,0</t>
  </si>
  <si>
    <t xml:space="preserve">48,3713</t>
  </si>
  <si>
    <t xml:space="preserve">6-th OPEN EUROPE CHAMPIONS CUP WPA/AWPA/WAA
«Russian Axle»
Moscow/Russia 10 - 11 april 2021 y.</t>
  </si>
  <si>
    <t xml:space="preserve">1. Shashkova Luiza</t>
  </si>
  <si>
    <t xml:space="preserve">Open (31.08.1986)/34</t>
  </si>
  <si>
    <t xml:space="preserve">68,80</t>
  </si>
  <si>
    <t xml:space="preserve">Body Weight Category  80+</t>
  </si>
  <si>
    <t xml:space="preserve">1. Fominova Natalya</t>
  </si>
  <si>
    <t xml:space="preserve">Master 40+ (12.11.1980)/40</t>
  </si>
  <si>
    <t xml:space="preserve">93,20</t>
  </si>
  <si>
    <t xml:space="preserve">115,0</t>
  </si>
  <si>
    <t xml:space="preserve">125,0</t>
  </si>
  <si>
    <t xml:space="preserve">1. Battakhov Petr</t>
  </si>
  <si>
    <t xml:space="preserve">Master 40+ (21.04.1952)/68</t>
  </si>
  <si>
    <t xml:space="preserve">99,10</t>
  </si>
  <si>
    <t xml:space="preserve">Yakutsk/Yakutiya</t>
  </si>
  <si>
    <t xml:space="preserve">130,0</t>
  </si>
  <si>
    <t xml:space="preserve">140,0</t>
  </si>
  <si>
    <t xml:space="preserve">Shashkova Luiza</t>
  </si>
  <si>
    <t xml:space="preserve">62,1005</t>
  </si>
  <si>
    <t xml:space="preserve">Fominova Natalya</t>
  </si>
  <si>
    <t xml:space="preserve">80+</t>
  </si>
  <si>
    <t xml:space="preserve">62,5855</t>
  </si>
  <si>
    <t xml:space="preserve">123,3961</t>
  </si>
  <si>
    <t xml:space="preserve">Battakhov Petr</t>
  </si>
  <si>
    <t xml:space="preserve">119,5577</t>
  </si>
  <si>
    <t xml:space="preserve">88,9970</t>
  </si>
  <si>
    <t xml:space="preserve">6-th OPEN EUROPE CHAMPIONS CUP WPA/AWPA/WAA
«Russian Roullette»
Moscow/Russia 10 - 11 april 2021 y.</t>
  </si>
  <si>
    <t xml:space="preserve">1. Kotlyarova Natalya</t>
  </si>
  <si>
    <t xml:space="preserve">Master 40+ (31.12.1972)/48</t>
  </si>
  <si>
    <t xml:space="preserve">68,50</t>
  </si>
  <si>
    <t xml:space="preserve">Moskovskiy/Moskovskaya oblast</t>
  </si>
  <si>
    <t xml:space="preserve">38,0</t>
  </si>
  <si>
    <t xml:space="preserve">40,5</t>
  </si>
  <si>
    <t xml:space="preserve">43,0</t>
  </si>
  <si>
    <t xml:space="preserve">50,5</t>
  </si>
  <si>
    <t xml:space="preserve">60,5</t>
  </si>
  <si>
    <t xml:space="preserve">Kotlyarova Natalya</t>
  </si>
  <si>
    <t xml:space="preserve">39,5347</t>
  </si>
  <si>
    <t xml:space="preserve">49,8520</t>
  </si>
  <si>
    <t xml:space="preserve">6-th OPEN EUROPE CHAMPIONS CUP WPA/AWPA/WAA
AWPA PUSH &amp; PULL RAW
Moscow/Russia 10 - 11 april 2021 y.</t>
  </si>
  <si>
    <t xml:space="preserve">Shv/Mel</t>
  </si>
  <si>
    <t xml:space="preserve">Deadlift</t>
  </si>
  <si>
    <t xml:space="preserve">Total</t>
  </si>
  <si>
    <t xml:space="preserve">Teen 16-17 (01.03.2004)/17</t>
  </si>
  <si>
    <t xml:space="preserve">77,5</t>
  </si>
  <si>
    <t xml:space="preserve">82,5</t>
  </si>
  <si>
    <t xml:space="preserve">135,0</t>
  </si>
  <si>
    <t xml:space="preserve">145,0</t>
  </si>
  <si>
    <t xml:space="preserve">155,0</t>
  </si>
  <si>
    <t xml:space="preserve">1. Usochev Igor</t>
  </si>
  <si>
    <t xml:space="preserve">Masters 55-59 (06.06.1965)/55</t>
  </si>
  <si>
    <t xml:space="preserve">94,60</t>
  </si>
  <si>
    <t xml:space="preserve">Bryansk/Bryanskaya oblast</t>
  </si>
  <si>
    <t xml:space="preserve">210,0</t>
  </si>
  <si>
    <t xml:space="preserve">225,5</t>
  </si>
  <si>
    <t xml:space="preserve">232,5</t>
  </si>
  <si>
    <t xml:space="preserve">142,5</t>
  </si>
  <si>
    <t xml:space="preserve">150,0</t>
  </si>
  <si>
    <t xml:space="preserve">160,0</t>
  </si>
  <si>
    <t xml:space="preserve">Teen</t>
  </si>
  <si>
    <t xml:space="preserve">Totall</t>
  </si>
  <si>
    <t xml:space="preserve">Teen 16-17</t>
  </si>
  <si>
    <t xml:space="preserve">240,0</t>
  </si>
  <si>
    <t xml:space="preserve">159,4800</t>
  </si>
  <si>
    <t xml:space="preserve">302,5</t>
  </si>
  <si>
    <t xml:space="preserve">166,2843</t>
  </si>
  <si>
    <t xml:space="preserve">Usochev Igor</t>
  </si>
  <si>
    <t xml:space="preserve">Masters 55-59</t>
  </si>
  <si>
    <t xml:space="preserve">372,5</t>
  </si>
  <si>
    <t xml:space="preserve">292,5459</t>
  </si>
  <si>
    <t xml:space="preserve">6-th OPEN EUROPE CHAMPIONS CUP WPA/AWPA/WAA
WPA raw squat
Moscow/Russia 10 - 11 april 2021 y.</t>
  </si>
  <si>
    <t xml:space="preserve">Squat</t>
  </si>
  <si>
    <t xml:space="preserve">Masters 65-69 (21.04.1952)/68</t>
  </si>
  <si>
    <t xml:space="preserve">Masters 65-69</t>
  </si>
  <si>
    <t xml:space="preserve">169,3933</t>
  </si>
  <si>
    <t xml:space="preserve">6-th OPEN EUROPE CHAMPIONS CUP WPA/AWPA/WAA
WPA Strict Curl
Moscow/Russia 10 - 11 april 2021 y.</t>
  </si>
  <si>
    <t xml:space="preserve">Biceps curl</t>
  </si>
  <si>
    <t xml:space="preserve">Juniors 20-23 (26.03.2001)/20</t>
  </si>
  <si>
    <t xml:space="preserve">Juniors</t>
  </si>
  <si>
    <t xml:space="preserve">Juniors 20-23</t>
  </si>
  <si>
    <t xml:space="preserve">42,8775</t>
  </si>
  <si>
    <t xml:space="preserve">6-th OPEN EUROPE CHAMPIONS CUP WPA/AWPA/WAA
AWPA Strict Curl
Moscow/Russia 10 - 11 april 2021 y.</t>
  </si>
  <si>
    <t xml:space="preserve">Body Weight Category  56</t>
  </si>
  <si>
    <t xml:space="preserve">1. Sokolova Anna</t>
  </si>
  <si>
    <t xml:space="preserve">Open (01.07.1983)/37</t>
  </si>
  <si>
    <t xml:space="preserve">53,50</t>
  </si>
  <si>
    <t xml:space="preserve">Podolsk/Moskovskaya oblast</t>
  </si>
  <si>
    <t xml:space="preserve">27,5</t>
  </si>
  <si>
    <t xml:space="preserve">32,5</t>
  </si>
  <si>
    <t xml:space="preserve">Body Weight Category  67.5</t>
  </si>
  <si>
    <t xml:space="preserve">Juniors 20-23 (12.03.1999)/22</t>
  </si>
  <si>
    <t xml:space="preserve">30,0</t>
  </si>
  <si>
    <t xml:space="preserve">1. Umerenkova Yuliya</t>
  </si>
  <si>
    <t xml:space="preserve">Open (09.12.1980)/40</t>
  </si>
  <si>
    <t xml:space="preserve">73,30</t>
  </si>
  <si>
    <t xml:space="preserve">35,0</t>
  </si>
  <si>
    <t xml:space="preserve">42,5</t>
  </si>
  <si>
    <t xml:space="preserve">Masters 40-44 (09.12.1980)/40</t>
  </si>
  <si>
    <t xml:space="preserve">1. Ratkevich Ilya</t>
  </si>
  <si>
    <t xml:space="preserve">Teen 18-19 (30.07.2001)/19</t>
  </si>
  <si>
    <t xml:space="preserve">62,5</t>
  </si>
  <si>
    <t xml:space="preserve">1. Nikitchenko Sergey</t>
  </si>
  <si>
    <t xml:space="preserve">Masters 40-44 (10.09.1978)/42</t>
  </si>
  <si>
    <t xml:space="preserve">57,5</t>
  </si>
  <si>
    <t xml:space="preserve">1. Ilchenko Vasiliy</t>
  </si>
  <si>
    <t xml:space="preserve">Masters 55-59 (13.05.1963)/57</t>
  </si>
  <si>
    <t xml:space="preserve">74,40</t>
  </si>
  <si>
    <t xml:space="preserve">Masters 60-64 (25.05.1957)/63</t>
  </si>
  <si>
    <t xml:space="preserve">45,0</t>
  </si>
  <si>
    <t xml:space="preserve">Body Weight Category  82.5</t>
  </si>
  <si>
    <t xml:space="preserve">1. Mischenko Artem</t>
  </si>
  <si>
    <t xml:space="preserve">Open (26.06.1984)/36</t>
  </si>
  <si>
    <t xml:space="preserve">89,90</t>
  </si>
  <si>
    <t xml:space="preserve">2. Mashoshin Evgeniy</t>
  </si>
  <si>
    <t xml:space="preserve">Open (03.12.1983)/37</t>
  </si>
  <si>
    <t xml:space="preserve">90,00</t>
  </si>
  <si>
    <t xml:space="preserve">67,5</t>
  </si>
  <si>
    <t xml:space="preserve">1. Rabekhov Temur</t>
  </si>
  <si>
    <t xml:space="preserve">Open (06.04.1992)/29</t>
  </si>
  <si>
    <t xml:space="preserve">96,60</t>
  </si>
  <si>
    <t xml:space="preserve">1. Domanskiy Aleksandr</t>
  </si>
  <si>
    <t xml:space="preserve">Sub Masters 33-39 (21.11.1985)/35</t>
  </si>
  <si>
    <t xml:space="preserve">94,40</t>
  </si>
  <si>
    <t xml:space="preserve">Arkhangelsk/Arkhangelskaya oblast</t>
  </si>
  <si>
    <t xml:space="preserve">67.5</t>
  </si>
  <si>
    <t xml:space="preserve">24,0630</t>
  </si>
  <si>
    <t xml:space="preserve">Umerenkova Yuliya</t>
  </si>
  <si>
    <t xml:space="preserve">29,3440</t>
  </si>
  <si>
    <t xml:space="preserve">Sokolova Anna</t>
  </si>
  <si>
    <t xml:space="preserve">56</t>
  </si>
  <si>
    <t xml:space="preserve">26,0205</t>
  </si>
  <si>
    <t xml:space="preserve">Masters 40-44</t>
  </si>
  <si>
    <t xml:space="preserve">Teen 18-19</t>
  </si>
  <si>
    <t xml:space="preserve">41,5750</t>
  </si>
  <si>
    <t xml:space="preserve">Mischenko Artem</t>
  </si>
  <si>
    <t xml:space="preserve">43,9275</t>
  </si>
  <si>
    <t xml:space="preserve">82.5</t>
  </si>
  <si>
    <t xml:space="preserve">40,4937</t>
  </si>
  <si>
    <t xml:space="preserve">Mashoshin Evgeniy</t>
  </si>
  <si>
    <t xml:space="preserve">38,0445</t>
  </si>
  <si>
    <t xml:space="preserve">Rabekhov Temur</t>
  </si>
  <si>
    <t xml:space="preserve">36,5950</t>
  </si>
  <si>
    <t xml:space="preserve">24,7365</t>
  </si>
  <si>
    <t xml:space="preserve">Sub</t>
  </si>
  <si>
    <t xml:space="preserve">Domanskiy Aleksandr</t>
  </si>
  <si>
    <t xml:space="preserve">Sub Masters 33-39</t>
  </si>
  <si>
    <t xml:space="preserve">34,1820</t>
  </si>
  <si>
    <t xml:space="preserve">Ilchenko Vasiliy</t>
  </si>
  <si>
    <t xml:space="preserve">54,4322</t>
  </si>
  <si>
    <t xml:space="preserve">Masters 60-64</t>
  </si>
  <si>
    <t xml:space="preserve">48,5659</t>
  </si>
  <si>
    <t xml:space="preserve">42,6202</t>
  </si>
  <si>
    <t xml:space="preserve">6-th OPEN EUROPE CHAMPIONS CUP WPA/AWPA/WAA
AWPA OVERHEAD BENCH
Moscow/Russia 10 - 11 april 2021 y.</t>
  </si>
  <si>
    <t xml:space="preserve">Overhead press</t>
  </si>
  <si>
    <t xml:space="preserve">80,5</t>
  </si>
  <si>
    <t xml:space="preserve">30,2335</t>
  </si>
  <si>
    <t xml:space="preserve">48,4245</t>
  </si>
  <si>
    <t xml:space="preserve">6-th OPEN EUROPE CHAMPIONS CUP WPA/AWPA/WAA
AWPA raw powerlifting
Moscow/Russia 10 - 11 april 2021 y.</t>
  </si>
  <si>
    <t xml:space="preserve">Body Weight Category  60</t>
  </si>
  <si>
    <t xml:space="preserve">1. Grigorieva Nataliya</t>
  </si>
  <si>
    <t xml:space="preserve">Open (01.02.1983)/38</t>
  </si>
  <si>
    <t xml:space="preserve">59,40</t>
  </si>
  <si>
    <t xml:space="preserve">Vidnoye/Moskovskaya oblast</t>
  </si>
  <si>
    <t xml:space="preserve">1. Zharikova Victoriya</t>
  </si>
  <si>
    <t xml:space="preserve">Masters 40-44 (11.10.1977)/43</t>
  </si>
  <si>
    <t xml:space="preserve">58,80</t>
  </si>
  <si>
    <t xml:space="preserve">1. Alimova Diana</t>
  </si>
  <si>
    <t xml:space="preserve">Open (19.05.1990)/30</t>
  </si>
  <si>
    <t xml:space="preserve">Megalift</t>
  </si>
  <si>
    <t xml:space="preserve">37,5</t>
  </si>
  <si>
    <t xml:space="preserve">92,5</t>
  </si>
  <si>
    <t xml:space="preserve">Tulyakov Nikita</t>
  </si>
  <si>
    <t xml:space="preserve">1. Shuvalova Tatyana</t>
  </si>
  <si>
    <t xml:space="preserve">Masters 45-49 (05.01.1975)/46</t>
  </si>
  <si>
    <t xml:space="preserve">75,60</t>
  </si>
  <si>
    <t xml:space="preserve">1. Smetankina Vera</t>
  </si>
  <si>
    <t xml:space="preserve">Masters 40-44 (30.06.1978)/42</t>
  </si>
  <si>
    <t xml:space="preserve">88,80</t>
  </si>
  <si>
    <t xml:space="preserve">1. Timofeev Aleksandr</t>
  </si>
  <si>
    <t xml:space="preserve">Open (18.05.1991)/29</t>
  </si>
  <si>
    <t xml:space="preserve">66,80</t>
  </si>
  <si>
    <t xml:space="preserve">Aprelevka/Moskovskaya oblast</t>
  </si>
  <si>
    <t xml:space="preserve">170,0</t>
  </si>
  <si>
    <t xml:space="preserve">190,0</t>
  </si>
  <si>
    <t xml:space="preserve">200,0</t>
  </si>
  <si>
    <t xml:space="preserve">205,0</t>
  </si>
  <si>
    <t xml:space="preserve">-. Koleboshin Dmitriy</t>
  </si>
  <si>
    <t xml:space="preserve">Juniors 20-23 (14.06.1998)/22</t>
  </si>
  <si>
    <t xml:space="preserve">74,60</t>
  </si>
  <si>
    <t xml:space="preserve">Khimki/Moskovskaya oblast</t>
  </si>
  <si>
    <t xml:space="preserve">185,0</t>
  </si>
  <si>
    <t xml:space="preserve">195,0</t>
  </si>
  <si>
    <t xml:space="preserve">1. Smetankin Aleksey</t>
  </si>
  <si>
    <t xml:space="preserve">Children 11-12 (26.09.2008)/12</t>
  </si>
  <si>
    <t xml:space="preserve">1. Alimov Artem</t>
  </si>
  <si>
    <t xml:space="preserve">Teen 16-17 (25.09.2004)/16</t>
  </si>
  <si>
    <t xml:space="preserve">82,20</t>
  </si>
  <si>
    <t xml:space="preserve">1. Mukhamadov Izzatullo</t>
  </si>
  <si>
    <t xml:space="preserve">Juniors 20-23 (11.08.1998)/22</t>
  </si>
  <si>
    <t xml:space="preserve">87,20</t>
  </si>
  <si>
    <t xml:space="preserve">152,5</t>
  </si>
  <si>
    <t xml:space="preserve">245,0</t>
  </si>
  <si>
    <t xml:space="preserve">257,5</t>
  </si>
  <si>
    <t xml:space="preserve">1. Zmunchile Mikhail</t>
  </si>
  <si>
    <t xml:space="preserve">Open (25.05.1983)/37</t>
  </si>
  <si>
    <t xml:space="preserve">89,00</t>
  </si>
  <si>
    <t xml:space="preserve">180,0</t>
  </si>
  <si>
    <t xml:space="preserve">197,5</t>
  </si>
  <si>
    <t xml:space="preserve">202,5</t>
  </si>
  <si>
    <t xml:space="preserve">2. Lototskiy Dmitriy</t>
  </si>
  <si>
    <t xml:space="preserve">Open (17.05.1990)/30</t>
  </si>
  <si>
    <t xml:space="preserve">86,30</t>
  </si>
  <si>
    <t xml:space="preserve">165,0</t>
  </si>
  <si>
    <t xml:space="preserve">1. Repkin Artem</t>
  </si>
  <si>
    <t xml:space="preserve">Open (24.06.1994)/26</t>
  </si>
  <si>
    <t xml:space="preserve">250,0</t>
  </si>
  <si>
    <t xml:space="preserve">265,0</t>
  </si>
  <si>
    <t xml:space="preserve">162,5</t>
  </si>
  <si>
    <t xml:space="preserve">260,0</t>
  </si>
  <si>
    <t xml:space="preserve">290,0</t>
  </si>
  <si>
    <t xml:space="preserve">2. Migulev Aleksey</t>
  </si>
  <si>
    <t xml:space="preserve">Open (20.10.1987)/33</t>
  </si>
  <si>
    <t xml:space="preserve">99,40</t>
  </si>
  <si>
    <t xml:space="preserve">255,0</t>
  </si>
  <si>
    <t xml:space="preserve">1. Pigrov Sergey</t>
  </si>
  <si>
    <t xml:space="preserve">Masters 40-44 (03.06.1978)/42</t>
  </si>
  <si>
    <t xml:space="preserve">97,20</t>
  </si>
  <si>
    <t xml:space="preserve">157,5</t>
  </si>
  <si>
    <t xml:space="preserve">1. Ogannisyan Rafik</t>
  </si>
  <si>
    <t xml:space="preserve">Open (06.12.1980)/40</t>
  </si>
  <si>
    <t xml:space="preserve">109,00</t>
  </si>
  <si>
    <t xml:space="preserve">Blagoveshchensk/Amurskaya oblast</t>
  </si>
  <si>
    <t xml:space="preserve">270,0</t>
  </si>
  <si>
    <t xml:space="preserve">277,5</t>
  </si>
  <si>
    <t xml:space="preserve">2. Privezentzev Artem</t>
  </si>
  <si>
    <t xml:space="preserve">Open (14.11.1992)/28</t>
  </si>
  <si>
    <t xml:space="preserve">105,80</t>
  </si>
  <si>
    <t xml:space="preserve">215,0</t>
  </si>
  <si>
    <t xml:space="preserve">3. Kogan Aleksandr</t>
  </si>
  <si>
    <t xml:space="preserve">Open (19.01.1984)/37</t>
  </si>
  <si>
    <t xml:space="preserve">101,40</t>
  </si>
  <si>
    <t xml:space="preserve">Masters 40-44 (06.12.1980)/40</t>
  </si>
  <si>
    <t xml:space="preserve">Masters 50-54 (31.03.1971)/50</t>
  </si>
  <si>
    <t xml:space="preserve">Grigorieva Nataliya</t>
  </si>
  <si>
    <t xml:space="preserve">60</t>
  </si>
  <si>
    <t xml:space="preserve">310,0</t>
  </si>
  <si>
    <t xml:space="preserve">268,9560</t>
  </si>
  <si>
    <t xml:space="preserve">Alimova Diana</t>
  </si>
  <si>
    <t xml:space="preserve">207,5</t>
  </si>
  <si>
    <t xml:space="preserve">157,4510</t>
  </si>
  <si>
    <t xml:space="preserve">Zharikova Victoriya</t>
  </si>
  <si>
    <t xml:space="preserve">242,5</t>
  </si>
  <si>
    <t xml:space="preserve">216,0069</t>
  </si>
  <si>
    <t xml:space="preserve">Shuvalova Tatyana</t>
  </si>
  <si>
    <t xml:space="preserve">Masters 45-49</t>
  </si>
  <si>
    <t xml:space="preserve">275,0</t>
  </si>
  <si>
    <t xml:space="preserve">210,9271</t>
  </si>
  <si>
    <t xml:space="preserve">Smetankina Vera</t>
  </si>
  <si>
    <t xml:space="preserve">133,3880</t>
  </si>
  <si>
    <t xml:space="preserve">Children</t>
  </si>
  <si>
    <t xml:space="preserve">Smetankin Aleksey</t>
  </si>
  <si>
    <t xml:space="preserve">Children 11-12</t>
  </si>
  <si>
    <t xml:space="preserve">168,4540</t>
  </si>
  <si>
    <t xml:space="preserve">Alimov Artem</t>
  </si>
  <si>
    <t xml:space="preserve">360,0</t>
  </si>
  <si>
    <t xml:space="preserve">223,5240</t>
  </si>
  <si>
    <t xml:space="preserve">Mukhamadov Izzatullo</t>
  </si>
  <si>
    <t xml:space="preserve">605,0</t>
  </si>
  <si>
    <t xml:space="preserve">361,1245</t>
  </si>
  <si>
    <t xml:space="preserve">Repkin Artem</t>
  </si>
  <si>
    <t xml:space="preserve">702,5</t>
  </si>
  <si>
    <t xml:space="preserve">400,2143</t>
  </si>
  <si>
    <t xml:space="preserve">Ogannisyan Rafik</t>
  </si>
  <si>
    <t xml:space="preserve">720,0</t>
  </si>
  <si>
    <t xml:space="preserve">387,1440</t>
  </si>
  <si>
    <t xml:space="preserve">Timofeev Aleksandr</t>
  </si>
  <si>
    <t xml:space="preserve">465,0</t>
  </si>
  <si>
    <t xml:space="preserve">340,7055</t>
  </si>
  <si>
    <t xml:space="preserve">Zmunchile Mikhail</t>
  </si>
  <si>
    <t xml:space="preserve">562,5</t>
  </si>
  <si>
    <t xml:space="preserve">336,5437</t>
  </si>
  <si>
    <t xml:space="preserve">Migulev Aleksey</t>
  </si>
  <si>
    <t xml:space="preserve">336,0775</t>
  </si>
  <si>
    <t xml:space="preserve">Privezentzev Artem</t>
  </si>
  <si>
    <t xml:space="preserve">550,0</t>
  </si>
  <si>
    <t xml:space="preserve">298,3200</t>
  </si>
  <si>
    <t xml:space="preserve">Lototskiy Dmitriy</t>
  </si>
  <si>
    <t xml:space="preserve">470,0</t>
  </si>
  <si>
    <t xml:space="preserve">282,4230</t>
  </si>
  <si>
    <t xml:space="preserve">Kogan Aleksandr</t>
  </si>
  <si>
    <t xml:space="preserve">258,8760</t>
  </si>
  <si>
    <t xml:space="preserve">510,0</t>
  </si>
  <si>
    <t xml:space="preserve">290,5470</t>
  </si>
  <si>
    <t xml:space="preserve">Pigrov Sergey</t>
  </si>
  <si>
    <t xml:space="preserve">311,4934</t>
  </si>
  <si>
    <t xml:space="preserve">422,5</t>
  </si>
  <si>
    <t xml:space="preserve">272,4272</t>
  </si>
  <si>
    <t xml:space="preserve">6-th OPEN EUROPE CHAMPIONS CUP WPA/AWPA/WAA
AWPA raw benchpress
Moscow/Russia 10 - 11 april 2021 y.</t>
  </si>
  <si>
    <t xml:space="preserve">1. Verenikina Mariya</t>
  </si>
  <si>
    <t xml:space="preserve">Open (14.10.1985)/35</t>
  </si>
  <si>
    <t xml:space="preserve">55,90</t>
  </si>
  <si>
    <t xml:space="preserve">1. Loskutova Galina</t>
  </si>
  <si>
    <t xml:space="preserve">Open (17.05.1987)/33</t>
  </si>
  <si>
    <t xml:space="preserve">64,50</t>
  </si>
  <si>
    <t xml:space="preserve">1. Gadetskaya Mariya</t>
  </si>
  <si>
    <t xml:space="preserve">Open (19.04.1987)/33</t>
  </si>
  <si>
    <t xml:space="preserve">70,40</t>
  </si>
  <si>
    <t xml:space="preserve">Klin/Moskovskaya oblast</t>
  </si>
  <si>
    <t xml:space="preserve">1. Kolesnikov Vasiliy</t>
  </si>
  <si>
    <t xml:space="preserve">Open (17.02.1992)/29</t>
  </si>
  <si>
    <t xml:space="preserve">65,40</t>
  </si>
  <si>
    <t xml:space="preserve">107,5</t>
  </si>
  <si>
    <t xml:space="preserve">-. Shakhverdyan Artush</t>
  </si>
  <si>
    <t xml:space="preserve">Open (29.04.1988)/32</t>
  </si>
  <si>
    <t xml:space="preserve">65,50</t>
  </si>
  <si>
    <t xml:space="preserve">97,5</t>
  </si>
  <si>
    <t xml:space="preserve">1. Ivantsov Artem</t>
  </si>
  <si>
    <t xml:space="preserve">Open (17.07.1995)/25</t>
  </si>
  <si>
    <t xml:space="preserve">Krasnoznamensk/Moskovskaya oblast</t>
  </si>
  <si>
    <t xml:space="preserve">117,5</t>
  </si>
  <si>
    <t xml:space="preserve">1. Andreev Dmitriy</t>
  </si>
  <si>
    <t xml:space="preserve">Open (16.11.1980)/40</t>
  </si>
  <si>
    <t xml:space="preserve">81,40</t>
  </si>
  <si>
    <t xml:space="preserve">147,5</t>
  </si>
  <si>
    <t xml:space="preserve">Masters 40-44 (16.11.1980)/40</t>
  </si>
  <si>
    <t xml:space="preserve">-. Nesterov Vladimir</t>
  </si>
  <si>
    <t xml:space="preserve">Open (21.09.1986)/34</t>
  </si>
  <si>
    <t xml:space="preserve">132,5</t>
  </si>
  <si>
    <t xml:space="preserve">Matevosyan David</t>
  </si>
  <si>
    <t xml:space="preserve">1. Volzhentsev Valeriy</t>
  </si>
  <si>
    <t xml:space="preserve">Masters 45-49 (13.04.1973)/47</t>
  </si>
  <si>
    <t xml:space="preserve">89,60</t>
  </si>
  <si>
    <t xml:space="preserve">Dolgoprudnyy/Moskovskaya oblast</t>
  </si>
  <si>
    <t xml:space="preserve">172,5</t>
  </si>
  <si>
    <t xml:space="preserve">Masters 50-54 (30.11.1968)/52</t>
  </si>
  <si>
    <t xml:space="preserve">87,70</t>
  </si>
  <si>
    <t xml:space="preserve">2. Seferov Rafat</t>
  </si>
  <si>
    <t xml:space="preserve">Open (10.01.1995)/26</t>
  </si>
  <si>
    <t xml:space="preserve">95,80</t>
  </si>
  <si>
    <t xml:space="preserve">177,5</t>
  </si>
  <si>
    <t xml:space="preserve">1. Sorokin Andrey</t>
  </si>
  <si>
    <t xml:space="preserve">Masters 45-49 (13.11.1971)/49</t>
  </si>
  <si>
    <t xml:space="preserve">92,50</t>
  </si>
  <si>
    <t xml:space="preserve">Obninsk/Kaluzhskaya oblast</t>
  </si>
  <si>
    <t xml:space="preserve">137,5</t>
  </si>
  <si>
    <t xml:space="preserve">1. Bulgak Viorel</t>
  </si>
  <si>
    <t xml:space="preserve">Open (10.10.1985)/35</t>
  </si>
  <si>
    <t xml:space="preserve">110,00</t>
  </si>
  <si>
    <t xml:space="preserve">Zhukovskiy/Moskovskaya oblast</t>
  </si>
  <si>
    <t xml:space="preserve">2. Kozlov Vladislav</t>
  </si>
  <si>
    <t xml:space="preserve">Open (10.02.1997)/24</t>
  </si>
  <si>
    <t xml:space="preserve">108,00</t>
  </si>
  <si>
    <t xml:space="preserve">1. Gruntov Victor</t>
  </si>
  <si>
    <t xml:space="preserve">Masters 45-49 (27.05.1972)/48</t>
  </si>
  <si>
    <t xml:space="preserve">107,30</t>
  </si>
  <si>
    <t xml:space="preserve">Kaminskiy Yevgeniy</t>
  </si>
  <si>
    <t xml:space="preserve">1. Bichkov Igor</t>
  </si>
  <si>
    <t xml:space="preserve">Masters 50-54 (18.06.1970)/50</t>
  </si>
  <si>
    <t xml:space="preserve">107,80</t>
  </si>
  <si>
    <t xml:space="preserve">2. Bekov Kairat</t>
  </si>
  <si>
    <t xml:space="preserve">Body Weight Category  125</t>
  </si>
  <si>
    <t xml:space="preserve">1. Yaskin Roman</t>
  </si>
  <si>
    <t xml:space="preserve">Masters 45-49 (06.04.1976)/45</t>
  </si>
  <si>
    <t xml:space="preserve">124,60</t>
  </si>
  <si>
    <t xml:space="preserve">Body Weight Category  140</t>
  </si>
  <si>
    <t xml:space="preserve">1. Chubarov Vladimir</t>
  </si>
  <si>
    <t xml:space="preserve">Masters 55-59 (03.04.1964)/57</t>
  </si>
  <si>
    <t xml:space="preserve">135,70</t>
  </si>
  <si>
    <t xml:space="preserve">182,5</t>
  </si>
  <si>
    <t xml:space="preserve">Body Weight Category  155</t>
  </si>
  <si>
    <t xml:space="preserve">1. Nikiforov Aleksandr</t>
  </si>
  <si>
    <t xml:space="preserve">Open (18.10.1973)/47</t>
  </si>
  <si>
    <t xml:space="preserve">145,00</t>
  </si>
  <si>
    <t xml:space="preserve">Perm/Permskiy kray</t>
  </si>
  <si>
    <t xml:space="preserve">Masters 45-49 (18.10.1973)/47</t>
  </si>
  <si>
    <t xml:space="preserve">Verenikina Mariya</t>
  </si>
  <si>
    <t xml:space="preserve">70,7265</t>
  </si>
  <si>
    <t xml:space="preserve">Gadetskaya Mariya</t>
  </si>
  <si>
    <t xml:space="preserve">62,2875</t>
  </si>
  <si>
    <t xml:space="preserve">Loskutova Galina</t>
  </si>
  <si>
    <t xml:space="preserve">48,5700</t>
  </si>
  <si>
    <t xml:space="preserve">90,9241</t>
  </si>
  <si>
    <t xml:space="preserve">111,2830</t>
  </si>
  <si>
    <t xml:space="preserve">Bulgak Viorel</t>
  </si>
  <si>
    <t xml:space="preserve">104,6175</t>
  </si>
  <si>
    <t xml:space="preserve">Seferov Rafat</t>
  </si>
  <si>
    <t xml:space="preserve">93,2910</t>
  </si>
  <si>
    <t xml:space="preserve">Andreev Dmitriy</t>
  </si>
  <si>
    <t xml:space="preserve">92,2023</t>
  </si>
  <si>
    <t xml:space="preserve">Nikiforov Aleksandr</t>
  </si>
  <si>
    <t xml:space="preserve">155</t>
  </si>
  <si>
    <t xml:space="preserve">92,1115</t>
  </si>
  <si>
    <t xml:space="preserve">Kozlov Vladislav</t>
  </si>
  <si>
    <t xml:space="preserve">80,8650</t>
  </si>
  <si>
    <t xml:space="preserve">Kolesnikov Vasiliy</t>
  </si>
  <si>
    <t xml:space="preserve">80,3132</t>
  </si>
  <si>
    <t xml:space="preserve">Ivantsov Artem</t>
  </si>
  <si>
    <t xml:space="preserve">78,1610</t>
  </si>
  <si>
    <t xml:space="preserve">Chubarov Vladimir</t>
  </si>
  <si>
    <t xml:space="preserve">140</t>
  </si>
  <si>
    <t xml:space="preserve">133,5041</t>
  </si>
  <si>
    <t xml:space="preserve">Gruntov Victor</t>
  </si>
  <si>
    <t xml:space="preserve">117,6419</t>
  </si>
  <si>
    <t xml:space="preserve">109,9501</t>
  </si>
  <si>
    <t xml:space="preserve">Bichkov Igor</t>
  </si>
  <si>
    <t xml:space="preserve">107,5418</t>
  </si>
  <si>
    <t xml:space="preserve">Volzhentsev Valeriy</t>
  </si>
  <si>
    <t xml:space="preserve">105,7476</t>
  </si>
  <si>
    <t xml:space="preserve">100,5858</t>
  </si>
  <si>
    <t xml:space="preserve">91,8837</t>
  </si>
  <si>
    <t xml:space="preserve">Sorokin Andrey</t>
  </si>
  <si>
    <t xml:space="preserve">90,6205</t>
  </si>
  <si>
    <t xml:space="preserve">Yaskin Roman</t>
  </si>
  <si>
    <t xml:space="preserve">125</t>
  </si>
  <si>
    <t xml:space="preserve">84,7287</t>
  </si>
  <si>
    <t xml:space="preserve">77,3675</t>
  </si>
  <si>
    <t xml:space="preserve">6-th OPEN EUROPE CHAMPIONS CUP WPA/AWPA/WAA
AWPA multi ply deadlift
Moscow/Russia 10 - 11 april 2021 y.</t>
  </si>
  <si>
    <t xml:space="preserve">154,0560</t>
  </si>
  <si>
    <t xml:space="preserve">128,1825</t>
  </si>
  <si>
    <t xml:space="preserve">6-th OPEN EUROPE CHAMPIONS CUP WPA/AWPA/WAA
AWPA raw deadlift
Moscow/Russia 10 - 11 april 2021 y.</t>
  </si>
  <si>
    <t xml:space="preserve">1. Anisimova Kristina</t>
  </si>
  <si>
    <t xml:space="preserve">Open (19.02.1992)/29</t>
  </si>
  <si>
    <t xml:space="preserve">54,90</t>
  </si>
  <si>
    <t xml:space="preserve">1. Andreev Aleksandr</t>
  </si>
  <si>
    <t xml:space="preserve">Teen 16-17 (24.12.2003)/17</t>
  </si>
  <si>
    <t xml:space="preserve">55,60</t>
  </si>
  <si>
    <t xml:space="preserve">1. Skokin Victor</t>
  </si>
  <si>
    <t xml:space="preserve">Masters 60-64 (20.06.1957)/63</t>
  </si>
  <si>
    <t xml:space="preserve">76,40</t>
  </si>
  <si>
    <t xml:space="preserve">Voskresensk/Moskovskaya oblast</t>
  </si>
  <si>
    <t xml:space="preserve">222,5</t>
  </si>
  <si>
    <t xml:space="preserve">1. Yakubov Erik</t>
  </si>
  <si>
    <t xml:space="preserve">Open (17.08.1992)/28</t>
  </si>
  <si>
    <t xml:space="preserve">87,60</t>
  </si>
  <si>
    <t xml:space="preserve">2. Samodelov Igor</t>
  </si>
  <si>
    <t xml:space="preserve">Open (08.12.1982)/38</t>
  </si>
  <si>
    <t xml:space="preserve">83,70</t>
  </si>
  <si>
    <t xml:space="preserve">Drezna/Moskovskaya oblast</t>
  </si>
  <si>
    <t xml:space="preserve">Open (06.06.1965)/55</t>
  </si>
  <si>
    <t xml:space="preserve">Anisimova Kristina</t>
  </si>
  <si>
    <t xml:space="preserve">106,5245</t>
  </si>
  <si>
    <t xml:space="preserve">Andreev Aleksandr</t>
  </si>
  <si>
    <t xml:space="preserve">114,6210</t>
  </si>
  <si>
    <t xml:space="preserve">132,3158</t>
  </si>
  <si>
    <t xml:space="preserve">Samodelov Igor</t>
  </si>
  <si>
    <t xml:space="preserve">128,7720</t>
  </si>
  <si>
    <t xml:space="preserve">Yakubov Erik</t>
  </si>
  <si>
    <t xml:space="preserve">127,9680</t>
  </si>
  <si>
    <t xml:space="preserve">Skokin Victor</t>
  </si>
  <si>
    <t xml:space="preserve">263,7849</t>
  </si>
  <si>
    <t xml:space="preserve">182,5957</t>
  </si>
  <si>
    <t xml:space="preserve">169,9807</t>
  </si>
  <si>
    <t xml:space="preserve">103,1677</t>
  </si>
  <si>
    <t xml:space="preserve">6-th OPEN EUROPE CHAMPIONS CUP WPA/AWPA/WAA
WPA raw powerlifting
Moscow/Russia 10 - 11 april 2021 y.</t>
  </si>
  <si>
    <t xml:space="preserve">1. Morozov Aleksandr</t>
  </si>
  <si>
    <t xml:space="preserve">Open (07.06.1991)/29</t>
  </si>
  <si>
    <t xml:space="preserve">107,70</t>
  </si>
  <si>
    <t xml:space="preserve">175,0</t>
  </si>
  <si>
    <t xml:space="preserve">Morozov Aleksandr</t>
  </si>
  <si>
    <t xml:space="preserve">585,0</t>
  </si>
  <si>
    <t xml:space="preserve">315,6075</t>
  </si>
  <si>
    <t xml:space="preserve">6-th OPEN EUROPE CHAMPIONS CUP WPA/AWPA/WAA
WPA raw benchpress
Moscow/Russia 10 - 11 april 2021 y.</t>
  </si>
  <si>
    <t xml:space="preserve">1. Cheglakov Aleksandr</t>
  </si>
  <si>
    <t xml:space="preserve">1. Burtsev Dmitriy</t>
  </si>
  <si>
    <t xml:space="preserve">Masters 40-44 (21.02.1977)/44</t>
  </si>
  <si>
    <t xml:space="preserve">79,70</t>
  </si>
  <si>
    <t xml:space="preserve">1. Salosalov Sergey</t>
  </si>
  <si>
    <t xml:space="preserve">Teen 16-17 (11.09.2004)/16</t>
  </si>
  <si>
    <t xml:space="preserve">89,30</t>
  </si>
  <si>
    <t xml:space="preserve">Shchelkovo/Moskovskaya oblast</t>
  </si>
  <si>
    <t xml:space="preserve">Open (11.09.2004)/16</t>
  </si>
  <si>
    <t xml:space="preserve">1. Maskurov Girikhan</t>
  </si>
  <si>
    <t xml:space="preserve">Open (27.10.1987)/33</t>
  </si>
  <si>
    <t xml:space="preserve">1. Gevorkyan Anton</t>
  </si>
  <si>
    <t xml:space="preserve">Open (12.06.1992)/28</t>
  </si>
  <si>
    <t xml:space="preserve">116,80</t>
  </si>
  <si>
    <t xml:space="preserve">Salosalov Sergey</t>
  </si>
  <si>
    <t xml:space="preserve">102,9175</t>
  </si>
  <si>
    <t xml:space="preserve">Gevorkyan Anton</t>
  </si>
  <si>
    <t xml:space="preserve">105,9600</t>
  </si>
  <si>
    <t xml:space="preserve">Maskurov Girikhan</t>
  </si>
  <si>
    <t xml:space="preserve">93,3398</t>
  </si>
  <si>
    <t xml:space="preserve">87,5810</t>
  </si>
  <si>
    <t xml:space="preserve">Burtsev Dmitriy</t>
  </si>
  <si>
    <t xml:space="preserve">88,3407</t>
  </si>
  <si>
    <t xml:space="preserve">6-th OPEN EUROPE CHAMPIONS CUP WPA/AWPA/WAA
WPA raw deadlift
Moscow/Russia 10 - 11 april 2021 y.</t>
  </si>
  <si>
    <t xml:space="preserve">1. Gorelikov Dmirtiy</t>
  </si>
  <si>
    <t xml:space="preserve">Masters 50-54 (23.06.1968)/52</t>
  </si>
  <si>
    <t xml:space="preserve">81,20</t>
  </si>
  <si>
    <t xml:space="preserve">Sergiyev Posad/Moskovskaya oblast</t>
  </si>
  <si>
    <t xml:space="preserve">214,5649</t>
  </si>
  <si>
    <t xml:space="preserve">Gorelikov Dmirtiy</t>
  </si>
  <si>
    <t xml:space="preserve">174,5689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</si>
</sst>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b val="true"/>
      <sz val="24"/>
      <name val="Arial Cyr"/>
      <family val="0"/>
      <charset val="204"/>
    </font>
    <font>
      <b val="true"/>
      <sz val="11"/>
      <name val="Arial Cyr"/>
      <family val="0"/>
      <charset val="204"/>
    </font>
    <font>
      <i val="true"/>
      <sz val="12"/>
      <name val="Arial Cyr"/>
      <family val="0"/>
      <charset val="204"/>
    </font>
    <font>
      <strike val="true"/>
      <sz val="10"/>
      <name val="Arial Cyr"/>
      <family val="0"/>
      <charset val="204"/>
    </font>
    <font>
      <sz val="12"/>
      <name val="Arial Cyr"/>
      <family val="0"/>
      <charset val="204"/>
    </font>
    <font>
      <sz val="14"/>
      <name val="Arial Cyr"/>
      <family val="0"/>
      <charset val="204"/>
    </font>
    <font>
      <i val="true"/>
      <sz val="11"/>
      <name val="Arial Cyr"/>
      <family val="0"/>
      <charset val="204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0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890625" defaultRowHeight="13.2" zeroHeight="false" outlineLevelRow="0" outlineLevelCol="0"/>
  <cols>
    <col collapsed="false" customWidth="true" hidden="false" outlineLevel="0" max="1" min="1" style="1" width="24.87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1" width="17"/>
    <col collapsed="false" customWidth="true" hidden="false" outlineLevel="0" max="6" min="6" style="1" width="13.89"/>
    <col collapsed="false" customWidth="true" hidden="false" outlineLevel="0" max="9" min="7" style="2" width="5.55"/>
    <col collapsed="false" customWidth="true" hidden="false" outlineLevel="0" max="10" min="10" style="2" width="4.78"/>
    <col collapsed="false" customWidth="true" hidden="false" outlineLevel="0" max="11" min="11" style="3" width="5.78"/>
    <col collapsed="false" customWidth="true" hidden="false" outlineLevel="0" max="12" min="12" style="4" width="8.56"/>
    <col collapsed="false" customWidth="true" hidden="false" outlineLevel="0" max="13" min="13" style="1" width="7.11"/>
    <col collapsed="false" customWidth="false" hidden="false" outlineLevel="0" max="1024" min="14" style="5" width="9.12"/>
  </cols>
  <sheetData>
    <row r="1" s="7" customFormat="true" ht="28.95" hidden="false" customHeight="true" outlineLevel="0" collapsed="false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1" t="s">
        <v>7</v>
      </c>
      <c r="H3" s="11"/>
      <c r="I3" s="11"/>
      <c r="J3" s="11"/>
      <c r="K3" s="10" t="s">
        <v>8</v>
      </c>
      <c r="L3" s="10" t="s">
        <v>9</v>
      </c>
      <c r="M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0"/>
      <c r="L4" s="10"/>
      <c r="M4" s="12"/>
    </row>
    <row r="5" s="2" customFormat="true" ht="15.6" hidden="false" customHeight="false" outlineLevel="0" collapsed="false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4"/>
      <c r="M5" s="1"/>
    </row>
    <row r="6" s="2" customFormat="true" ht="13.2" hidden="false" customHeight="false" outlineLevel="0" collapsed="false">
      <c r="A6" s="16" t="s">
        <v>13</v>
      </c>
      <c r="B6" s="17" t="s">
        <v>14</v>
      </c>
      <c r="C6" s="17" t="s">
        <v>15</v>
      </c>
      <c r="D6" s="17" t="str">
        <f aca="false">"0,8782"</f>
        <v>0,8782</v>
      </c>
      <c r="E6" s="16" t="s">
        <v>16</v>
      </c>
      <c r="F6" s="16" t="s">
        <v>17</v>
      </c>
      <c r="G6" s="17" t="s">
        <v>18</v>
      </c>
      <c r="H6" s="17" t="s">
        <v>19</v>
      </c>
      <c r="I6" s="17" t="s">
        <v>20</v>
      </c>
      <c r="J6" s="18"/>
      <c r="K6" s="19" t="str">
        <f aca="false">"120,0"</f>
        <v>120,0</v>
      </c>
      <c r="L6" s="20" t="str">
        <f aca="false">"126,8823"</f>
        <v>126,8823</v>
      </c>
      <c r="M6" s="16"/>
    </row>
    <row r="7" s="2" customFormat="true" ht="13.2" hidden="false" customHeight="false" outlineLevel="0" collapsed="false">
      <c r="A7" s="1"/>
      <c r="E7" s="1"/>
      <c r="F7" s="1"/>
      <c r="K7" s="3"/>
      <c r="L7" s="4"/>
      <c r="M7" s="1"/>
    </row>
    <row r="8" customFormat="false" ht="15.6" hidden="false" customHeight="false" outlineLevel="0" collapsed="false">
      <c r="A8" s="21" t="s">
        <v>21</v>
      </c>
      <c r="B8" s="21"/>
      <c r="C8" s="21"/>
      <c r="D8" s="21"/>
      <c r="E8" s="21"/>
      <c r="F8" s="21"/>
      <c r="G8" s="21"/>
      <c r="H8" s="21"/>
      <c r="I8" s="21"/>
      <c r="J8" s="21"/>
    </row>
    <row r="9" customFormat="false" ht="13.2" hidden="false" customHeight="false" outlineLevel="0" collapsed="false">
      <c r="A9" s="16" t="s">
        <v>22</v>
      </c>
      <c r="B9" s="17" t="s">
        <v>23</v>
      </c>
      <c r="C9" s="17" t="s">
        <v>24</v>
      </c>
      <c r="D9" s="17" t="str">
        <f aca="false">"0,5678"</f>
        <v>0,5678</v>
      </c>
      <c r="E9" s="16" t="s">
        <v>25</v>
      </c>
      <c r="F9" s="16" t="s">
        <v>17</v>
      </c>
      <c r="G9" s="17" t="s">
        <v>26</v>
      </c>
      <c r="H9" s="17" t="s">
        <v>27</v>
      </c>
      <c r="I9" s="17" t="s">
        <v>28</v>
      </c>
      <c r="J9" s="18"/>
      <c r="K9" s="19" t="str">
        <f aca="false">"230,0"</f>
        <v>230,0</v>
      </c>
      <c r="L9" s="20" t="str">
        <f aca="false">"130,5940"</f>
        <v>130,5940</v>
      </c>
      <c r="M9" s="16"/>
    </row>
    <row r="11" customFormat="false" ht="15" hidden="false" customHeight="false" outlineLevel="0" collapsed="false">
      <c r="E11" s="22" t="s">
        <v>29</v>
      </c>
    </row>
    <row r="12" customFormat="false" ht="15" hidden="false" customHeight="false" outlineLevel="0" collapsed="false">
      <c r="E12" s="22" t="s">
        <v>30</v>
      </c>
    </row>
    <row r="13" customFormat="false" ht="15" hidden="false" customHeight="false" outlineLevel="0" collapsed="false">
      <c r="E13" s="22" t="s">
        <v>31</v>
      </c>
    </row>
    <row r="14" customFormat="false" ht="13.2" hidden="false" customHeight="false" outlineLevel="0" collapsed="false">
      <c r="E14" s="1" t="s">
        <v>32</v>
      </c>
    </row>
    <row r="15" customFormat="false" ht="13.2" hidden="false" customHeight="false" outlineLevel="0" collapsed="false">
      <c r="E15" s="1" t="s">
        <v>33</v>
      </c>
    </row>
    <row r="16" customFormat="false" ht="13.2" hidden="false" customHeight="false" outlineLevel="0" collapsed="false">
      <c r="E16" s="1" t="s">
        <v>34</v>
      </c>
    </row>
    <row r="19" customFormat="false" ht="17.4" hidden="false" customHeight="false" outlineLevel="0" collapsed="false">
      <c r="A19" s="23" t="s">
        <v>35</v>
      </c>
      <c r="B19" s="24"/>
    </row>
    <row r="20" customFormat="false" ht="15.6" hidden="false" customHeight="false" outlineLevel="0" collapsed="false">
      <c r="A20" s="25" t="s">
        <v>36</v>
      </c>
      <c r="B20" s="21"/>
    </row>
    <row r="21" customFormat="false" ht="14.4" hidden="false" customHeight="false" outlineLevel="0" collapsed="false">
      <c r="A21" s="26"/>
      <c r="B21" s="27" t="s">
        <v>37</v>
      </c>
    </row>
    <row r="22" customFormat="false" ht="13.8" hidden="false" customHeight="false" outlineLevel="0" collapsed="false">
      <c r="A22" s="28" t="s">
        <v>1</v>
      </c>
      <c r="B22" s="28" t="s">
        <v>38</v>
      </c>
      <c r="C22" s="28" t="s">
        <v>39</v>
      </c>
      <c r="D22" s="28" t="s">
        <v>40</v>
      </c>
      <c r="E22" s="28" t="s">
        <v>4</v>
      </c>
    </row>
    <row r="23" customFormat="false" ht="13.2" hidden="false" customHeight="false" outlineLevel="0" collapsed="false">
      <c r="A23" s="29" t="s">
        <v>41</v>
      </c>
      <c r="B23" s="2" t="s">
        <v>42</v>
      </c>
      <c r="C23" s="2" t="s">
        <v>43</v>
      </c>
      <c r="D23" s="2" t="s">
        <v>20</v>
      </c>
      <c r="E23" s="3" t="s">
        <v>44</v>
      </c>
    </row>
    <row r="26" customFormat="false" ht="15.6" hidden="false" customHeight="false" outlineLevel="0" collapsed="false">
      <c r="A26" s="25" t="s">
        <v>45</v>
      </c>
      <c r="B26" s="21"/>
    </row>
    <row r="27" customFormat="false" ht="14.4" hidden="false" customHeight="false" outlineLevel="0" collapsed="false">
      <c r="A27" s="26"/>
      <c r="B27" s="27" t="s">
        <v>46</v>
      </c>
    </row>
    <row r="28" customFormat="false" ht="13.8" hidden="false" customHeight="false" outlineLevel="0" collapsed="false">
      <c r="A28" s="28" t="s">
        <v>1</v>
      </c>
      <c r="B28" s="28" t="s">
        <v>38</v>
      </c>
      <c r="C28" s="28" t="s">
        <v>39</v>
      </c>
      <c r="D28" s="28" t="s">
        <v>40</v>
      </c>
      <c r="E28" s="28" t="s">
        <v>4</v>
      </c>
    </row>
    <row r="29" customFormat="false" ht="13.2" hidden="false" customHeight="false" outlineLevel="0" collapsed="false">
      <c r="A29" s="29" t="s">
        <v>47</v>
      </c>
      <c r="B29" s="2" t="s">
        <v>46</v>
      </c>
      <c r="C29" s="2" t="s">
        <v>48</v>
      </c>
      <c r="D29" s="2" t="s">
        <v>28</v>
      </c>
      <c r="E29" s="3" t="s">
        <v>49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890625" defaultRowHeight="13.2" zeroHeight="false" outlineLevelRow="0" outlineLevelCol="0"/>
  <cols>
    <col collapsed="false" customWidth="true" hidden="false" outlineLevel="0" max="1" min="1" style="1" width="24.87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8.79"/>
    <col collapsed="false" customWidth="true" hidden="false" outlineLevel="0" max="5" min="5" style="1" width="17"/>
    <col collapsed="false" customWidth="true" hidden="false" outlineLevel="0" max="6" min="6" style="1" width="15"/>
    <col collapsed="false" customWidth="true" hidden="false" outlineLevel="0" max="8" min="7" style="2" width="5.55"/>
    <col collapsed="false" customWidth="true" hidden="false" outlineLevel="0" max="9" min="9" style="2" width="2.12"/>
    <col collapsed="false" customWidth="true" hidden="false" outlineLevel="0" max="10" min="10" style="2" width="4.78"/>
    <col collapsed="false" customWidth="true" hidden="false" outlineLevel="0" max="11" min="11" style="3" width="5.78"/>
    <col collapsed="false" customWidth="true" hidden="false" outlineLevel="0" max="12" min="12" style="4" width="8.56"/>
    <col collapsed="false" customWidth="true" hidden="false" outlineLevel="0" max="13" min="13" style="1" width="7.11"/>
    <col collapsed="false" customWidth="false" hidden="false" outlineLevel="0" max="1024" min="14" style="5" width="9.12"/>
  </cols>
  <sheetData>
    <row r="1" s="7" customFormat="true" ht="28.95" hidden="false" customHeight="true" outlineLevel="0" collapsed="false">
      <c r="A1" s="6" t="s">
        <v>291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261</v>
      </c>
      <c r="E3" s="10" t="s">
        <v>5</v>
      </c>
      <c r="F3" s="10" t="s">
        <v>6</v>
      </c>
      <c r="G3" s="11" t="s">
        <v>292</v>
      </c>
      <c r="H3" s="11"/>
      <c r="I3" s="11"/>
      <c r="J3" s="11"/>
      <c r="K3" s="10" t="s">
        <v>8</v>
      </c>
      <c r="L3" s="10" t="s">
        <v>9</v>
      </c>
      <c r="M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0"/>
      <c r="L4" s="10"/>
      <c r="M4" s="12"/>
    </row>
    <row r="5" s="2" customFormat="true" ht="15.6" hidden="false" customHeight="false" outlineLevel="0" collapsed="false">
      <c r="A5" s="15" t="s">
        <v>179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4"/>
      <c r="M5" s="1"/>
    </row>
    <row r="6" s="2" customFormat="true" ht="13.2" hidden="false" customHeight="false" outlineLevel="0" collapsed="false">
      <c r="A6" s="16" t="s">
        <v>232</v>
      </c>
      <c r="B6" s="17" t="s">
        <v>293</v>
      </c>
      <c r="C6" s="17" t="s">
        <v>234</v>
      </c>
      <c r="D6" s="17" t="str">
        <f aca="false">"0,5563"</f>
        <v>0,5563</v>
      </c>
      <c r="E6" s="16" t="s">
        <v>16</v>
      </c>
      <c r="F6" s="16" t="s">
        <v>235</v>
      </c>
      <c r="G6" s="17" t="s">
        <v>236</v>
      </c>
      <c r="H6" s="17" t="s">
        <v>278</v>
      </c>
      <c r="I6" s="18"/>
      <c r="J6" s="18"/>
      <c r="K6" s="19" t="str">
        <f aca="false">"150,0"</f>
        <v>150,0</v>
      </c>
      <c r="L6" s="20" t="str">
        <f aca="false">"169,3933"</f>
        <v>169,3933</v>
      </c>
      <c r="M6" s="16"/>
    </row>
    <row r="7" s="2" customFormat="true" ht="13.2" hidden="false" customHeight="false" outlineLevel="0" collapsed="false">
      <c r="A7" s="1"/>
      <c r="E7" s="1"/>
      <c r="F7" s="1"/>
      <c r="K7" s="3"/>
      <c r="L7" s="4"/>
      <c r="M7" s="1"/>
    </row>
    <row r="8" customFormat="false" ht="15" hidden="false" customHeight="false" outlineLevel="0" collapsed="false">
      <c r="E8" s="22" t="s">
        <v>29</v>
      </c>
    </row>
    <row r="9" customFormat="false" ht="15" hidden="false" customHeight="false" outlineLevel="0" collapsed="false">
      <c r="E9" s="22" t="s">
        <v>30</v>
      </c>
    </row>
    <row r="10" customFormat="false" ht="15" hidden="false" customHeight="false" outlineLevel="0" collapsed="false">
      <c r="E10" s="22" t="s">
        <v>31</v>
      </c>
    </row>
    <row r="11" customFormat="false" ht="13.2" hidden="false" customHeight="false" outlineLevel="0" collapsed="false">
      <c r="E11" s="1" t="s">
        <v>32</v>
      </c>
    </row>
    <row r="12" customFormat="false" ht="13.2" hidden="false" customHeight="false" outlineLevel="0" collapsed="false">
      <c r="E12" s="1" t="s">
        <v>33</v>
      </c>
    </row>
    <row r="13" customFormat="false" ht="13.2" hidden="false" customHeight="false" outlineLevel="0" collapsed="false">
      <c r="E13" s="1" t="s">
        <v>34</v>
      </c>
    </row>
    <row r="16" customFormat="false" ht="17.4" hidden="false" customHeight="false" outlineLevel="0" collapsed="false">
      <c r="A16" s="23" t="s">
        <v>35</v>
      </c>
      <c r="B16" s="24"/>
    </row>
    <row r="17" customFormat="false" ht="15.6" hidden="false" customHeight="false" outlineLevel="0" collapsed="false">
      <c r="A17" s="25" t="s">
        <v>45</v>
      </c>
      <c r="B17" s="21"/>
    </row>
    <row r="18" customFormat="false" ht="14.4" hidden="false" customHeight="false" outlineLevel="0" collapsed="false">
      <c r="A18" s="26"/>
      <c r="B18" s="27" t="s">
        <v>37</v>
      </c>
    </row>
    <row r="19" customFormat="false" ht="13.8" hidden="false" customHeight="false" outlineLevel="0" collapsed="false">
      <c r="A19" s="28" t="s">
        <v>1</v>
      </c>
      <c r="B19" s="28" t="s">
        <v>38</v>
      </c>
      <c r="C19" s="28" t="s">
        <v>39</v>
      </c>
      <c r="D19" s="28" t="s">
        <v>40</v>
      </c>
      <c r="E19" s="28" t="s">
        <v>261</v>
      </c>
    </row>
    <row r="20" customFormat="false" ht="13.2" hidden="false" customHeight="false" outlineLevel="0" collapsed="false">
      <c r="A20" s="29" t="s">
        <v>244</v>
      </c>
      <c r="B20" s="2" t="s">
        <v>294</v>
      </c>
      <c r="C20" s="2" t="s">
        <v>191</v>
      </c>
      <c r="D20" s="2" t="s">
        <v>278</v>
      </c>
      <c r="E20" s="3" t="s">
        <v>295</v>
      </c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890625" defaultRowHeight="13.2" zeroHeight="false" outlineLevelRow="0" outlineLevelCol="0"/>
  <cols>
    <col collapsed="false" customWidth="true" hidden="false" outlineLevel="0" max="1" min="1" style="1" width="24.87"/>
    <col collapsed="false" customWidth="true" hidden="false" outlineLevel="0" max="2" min="2" style="2" width="26.2"/>
    <col collapsed="false" customWidth="true" hidden="false" outlineLevel="0" max="3" min="3" style="2" width="7.56"/>
    <col collapsed="false" customWidth="true" hidden="false" outlineLevel="0" max="4" min="4" style="2" width="8.79"/>
    <col collapsed="false" customWidth="true" hidden="false" outlineLevel="0" max="5" min="5" style="1" width="17"/>
    <col collapsed="false" customWidth="true" hidden="false" outlineLevel="0" max="6" min="6" style="1" width="13.89"/>
    <col collapsed="false" customWidth="true" hidden="false" outlineLevel="0" max="9" min="7" style="2" width="4.56"/>
    <col collapsed="false" customWidth="true" hidden="false" outlineLevel="0" max="10" min="10" style="2" width="4.78"/>
    <col collapsed="false" customWidth="true" hidden="false" outlineLevel="0" max="11" min="11" style="3" width="5.78"/>
    <col collapsed="false" customWidth="true" hidden="false" outlineLevel="0" max="12" min="12" style="4" width="7.56"/>
    <col collapsed="false" customWidth="true" hidden="false" outlineLevel="0" max="13" min="13" style="1" width="7.11"/>
    <col collapsed="false" customWidth="false" hidden="false" outlineLevel="0" max="1024" min="14" style="5" width="9.12"/>
  </cols>
  <sheetData>
    <row r="1" s="7" customFormat="true" ht="28.95" hidden="false" customHeight="true" outlineLevel="0" collapsed="false">
      <c r="A1" s="6" t="s">
        <v>296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261</v>
      </c>
      <c r="E3" s="10" t="s">
        <v>5</v>
      </c>
      <c r="F3" s="10" t="s">
        <v>6</v>
      </c>
      <c r="G3" s="11" t="s">
        <v>297</v>
      </c>
      <c r="H3" s="11"/>
      <c r="I3" s="11"/>
      <c r="J3" s="11"/>
      <c r="K3" s="10" t="s">
        <v>8</v>
      </c>
      <c r="L3" s="10" t="s">
        <v>9</v>
      </c>
      <c r="M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0"/>
      <c r="L4" s="10"/>
      <c r="M4" s="12"/>
    </row>
    <row r="5" s="2" customFormat="true" ht="15.6" hidden="false" customHeight="false" outlineLevel="0" collapsed="false">
      <c r="A5" s="15" t="s">
        <v>179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4"/>
      <c r="M5" s="1"/>
    </row>
    <row r="6" s="2" customFormat="true" ht="13.2" hidden="false" customHeight="false" outlineLevel="0" collapsed="false">
      <c r="A6" s="16" t="s">
        <v>180</v>
      </c>
      <c r="B6" s="17" t="s">
        <v>298</v>
      </c>
      <c r="C6" s="17" t="s">
        <v>182</v>
      </c>
      <c r="D6" s="17" t="str">
        <f aca="false">"0,5717"</f>
        <v>0,5717</v>
      </c>
      <c r="E6" s="16" t="s">
        <v>136</v>
      </c>
      <c r="F6" s="16" t="s">
        <v>17</v>
      </c>
      <c r="G6" s="17" t="s">
        <v>113</v>
      </c>
      <c r="H6" s="17" t="s">
        <v>76</v>
      </c>
      <c r="I6" s="18" t="s">
        <v>143</v>
      </c>
      <c r="J6" s="18"/>
      <c r="K6" s="19" t="str">
        <f aca="false">"75,0"</f>
        <v>75,0</v>
      </c>
      <c r="L6" s="20" t="str">
        <f aca="false">"42,8775"</f>
        <v>42,8775</v>
      </c>
      <c r="M6" s="16"/>
    </row>
    <row r="7" s="2" customFormat="true" ht="13.2" hidden="false" customHeight="false" outlineLevel="0" collapsed="false">
      <c r="A7" s="1"/>
      <c r="E7" s="1"/>
      <c r="F7" s="1"/>
      <c r="K7" s="3"/>
      <c r="L7" s="4"/>
      <c r="M7" s="1"/>
    </row>
    <row r="8" customFormat="false" ht="15" hidden="false" customHeight="false" outlineLevel="0" collapsed="false">
      <c r="E8" s="22" t="s">
        <v>29</v>
      </c>
    </row>
    <row r="9" customFormat="false" ht="15" hidden="false" customHeight="false" outlineLevel="0" collapsed="false">
      <c r="E9" s="22" t="s">
        <v>30</v>
      </c>
    </row>
    <row r="10" customFormat="false" ht="15" hidden="false" customHeight="false" outlineLevel="0" collapsed="false">
      <c r="E10" s="22" t="s">
        <v>31</v>
      </c>
    </row>
    <row r="11" customFormat="false" ht="13.2" hidden="false" customHeight="false" outlineLevel="0" collapsed="false">
      <c r="E11" s="1" t="s">
        <v>32</v>
      </c>
    </row>
    <row r="12" customFormat="false" ht="13.2" hidden="false" customHeight="false" outlineLevel="0" collapsed="false">
      <c r="E12" s="1" t="s">
        <v>33</v>
      </c>
    </row>
    <row r="13" customFormat="false" ht="13.2" hidden="false" customHeight="false" outlineLevel="0" collapsed="false">
      <c r="E13" s="1" t="s">
        <v>34</v>
      </c>
    </row>
    <row r="16" customFormat="false" ht="17.4" hidden="false" customHeight="false" outlineLevel="0" collapsed="false">
      <c r="A16" s="23" t="s">
        <v>35</v>
      </c>
      <c r="B16" s="24"/>
    </row>
    <row r="17" customFormat="false" ht="15.6" hidden="false" customHeight="false" outlineLevel="0" collapsed="false">
      <c r="A17" s="25" t="s">
        <v>45</v>
      </c>
      <c r="B17" s="21"/>
    </row>
    <row r="18" customFormat="false" ht="14.4" hidden="false" customHeight="false" outlineLevel="0" collapsed="false">
      <c r="A18" s="26"/>
      <c r="B18" s="27" t="s">
        <v>299</v>
      </c>
    </row>
    <row r="19" customFormat="false" ht="13.8" hidden="false" customHeight="false" outlineLevel="0" collapsed="false">
      <c r="A19" s="28" t="s">
        <v>1</v>
      </c>
      <c r="B19" s="28" t="s">
        <v>38</v>
      </c>
      <c r="C19" s="28" t="s">
        <v>39</v>
      </c>
      <c r="D19" s="28" t="s">
        <v>40</v>
      </c>
      <c r="E19" s="28" t="s">
        <v>261</v>
      </c>
    </row>
    <row r="20" customFormat="false" ht="13.2" hidden="false" customHeight="false" outlineLevel="0" collapsed="false">
      <c r="A20" s="29" t="s">
        <v>190</v>
      </c>
      <c r="B20" s="2" t="s">
        <v>300</v>
      </c>
      <c r="C20" s="2" t="s">
        <v>191</v>
      </c>
      <c r="D20" s="2" t="s">
        <v>76</v>
      </c>
      <c r="E20" s="3" t="s">
        <v>301</v>
      </c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8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890625" defaultRowHeight="13.2" zeroHeight="false" outlineLevelRow="0" outlineLevelCol="0"/>
  <cols>
    <col collapsed="false" customWidth="true" hidden="false" outlineLevel="0" max="1" min="1" style="1" width="24.87"/>
    <col collapsed="false" customWidth="true" hidden="false" outlineLevel="0" max="2" min="2" style="2" width="30.43"/>
    <col collapsed="false" customWidth="true" hidden="false" outlineLevel="0" max="3" min="3" style="2" width="7.56"/>
    <col collapsed="false" customWidth="true" hidden="false" outlineLevel="0" max="4" min="4" style="2" width="8.79"/>
    <col collapsed="false" customWidth="true" hidden="false" outlineLevel="0" max="5" min="5" style="1" width="17"/>
    <col collapsed="false" customWidth="true" hidden="false" outlineLevel="0" max="6" min="6" style="1" width="30.1"/>
    <col collapsed="false" customWidth="true" hidden="false" outlineLevel="0" max="9" min="7" style="2" width="4.56"/>
    <col collapsed="false" customWidth="true" hidden="false" outlineLevel="0" max="10" min="10" style="2" width="4.78"/>
    <col collapsed="false" customWidth="true" hidden="false" outlineLevel="0" max="11" min="11" style="3" width="5.78"/>
    <col collapsed="false" customWidth="true" hidden="false" outlineLevel="0" max="12" min="12" style="4" width="7.56"/>
    <col collapsed="false" customWidth="true" hidden="false" outlineLevel="0" max="13" min="13" style="1" width="7.11"/>
    <col collapsed="false" customWidth="false" hidden="false" outlineLevel="0" max="1024" min="14" style="5" width="9.12"/>
  </cols>
  <sheetData>
    <row r="1" s="7" customFormat="true" ht="28.95" hidden="false" customHeight="true" outlineLevel="0" collapsed="false">
      <c r="A1" s="6" t="s">
        <v>302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261</v>
      </c>
      <c r="E3" s="10" t="s">
        <v>5</v>
      </c>
      <c r="F3" s="10" t="s">
        <v>6</v>
      </c>
      <c r="G3" s="11" t="s">
        <v>297</v>
      </c>
      <c r="H3" s="11"/>
      <c r="I3" s="11"/>
      <c r="J3" s="11"/>
      <c r="K3" s="10" t="s">
        <v>8</v>
      </c>
      <c r="L3" s="10" t="s">
        <v>9</v>
      </c>
      <c r="M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0"/>
      <c r="L4" s="10"/>
      <c r="M4" s="12"/>
    </row>
    <row r="5" s="2" customFormat="true" ht="15.6" hidden="false" customHeight="false" outlineLevel="0" collapsed="false">
      <c r="A5" s="15" t="s">
        <v>303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4"/>
      <c r="M5" s="1"/>
    </row>
    <row r="6" s="2" customFormat="true" ht="13.2" hidden="false" customHeight="false" outlineLevel="0" collapsed="false">
      <c r="A6" s="16" t="s">
        <v>304</v>
      </c>
      <c r="B6" s="17" t="s">
        <v>305</v>
      </c>
      <c r="C6" s="17" t="s">
        <v>306</v>
      </c>
      <c r="D6" s="17" t="str">
        <f aca="false">"0,9462"</f>
        <v>0,9462</v>
      </c>
      <c r="E6" s="16" t="s">
        <v>16</v>
      </c>
      <c r="F6" s="16" t="s">
        <v>307</v>
      </c>
      <c r="G6" s="17" t="s">
        <v>308</v>
      </c>
      <c r="H6" s="18" t="s">
        <v>309</v>
      </c>
      <c r="I6" s="18" t="s">
        <v>309</v>
      </c>
      <c r="J6" s="18"/>
      <c r="K6" s="19" t="str">
        <f aca="false">"27,5"</f>
        <v>27,5</v>
      </c>
      <c r="L6" s="20" t="str">
        <f aca="false">"26,0205"</f>
        <v>26,0205</v>
      </c>
      <c r="M6" s="16"/>
    </row>
    <row r="7" s="2" customFormat="true" ht="13.2" hidden="false" customHeight="false" outlineLevel="0" collapsed="false">
      <c r="A7" s="1"/>
      <c r="E7" s="1"/>
      <c r="F7" s="1"/>
      <c r="K7" s="3"/>
      <c r="L7" s="4"/>
      <c r="M7" s="1"/>
    </row>
    <row r="8" customFormat="false" ht="15.6" hidden="false" customHeight="false" outlineLevel="0" collapsed="false">
      <c r="A8" s="21" t="s">
        <v>310</v>
      </c>
      <c r="B8" s="21"/>
      <c r="C8" s="21"/>
      <c r="D8" s="21"/>
      <c r="E8" s="21"/>
      <c r="F8" s="21"/>
      <c r="G8" s="21"/>
      <c r="H8" s="21"/>
      <c r="I8" s="21"/>
      <c r="J8" s="21"/>
    </row>
    <row r="9" customFormat="false" ht="13.2" hidden="false" customHeight="false" outlineLevel="0" collapsed="false">
      <c r="A9" s="16" t="s">
        <v>133</v>
      </c>
      <c r="B9" s="17" t="s">
        <v>311</v>
      </c>
      <c r="C9" s="17" t="s">
        <v>135</v>
      </c>
      <c r="D9" s="17" t="str">
        <f aca="false">"0,8021"</f>
        <v>0,8021</v>
      </c>
      <c r="E9" s="16" t="s">
        <v>136</v>
      </c>
      <c r="F9" s="16" t="s">
        <v>17</v>
      </c>
      <c r="G9" s="17" t="s">
        <v>60</v>
      </c>
      <c r="H9" s="17" t="s">
        <v>308</v>
      </c>
      <c r="I9" s="17" t="s">
        <v>312</v>
      </c>
      <c r="J9" s="18"/>
      <c r="K9" s="19" t="str">
        <f aca="false">"30,0"</f>
        <v>30,0</v>
      </c>
      <c r="L9" s="20" t="str">
        <f aca="false">"24,0630"</f>
        <v>24,0630</v>
      </c>
      <c r="M9" s="16"/>
    </row>
    <row r="11" customFormat="false" ht="15.6" hidden="false" customHeight="false" outlineLevel="0" collapsed="false">
      <c r="A11" s="21" t="s">
        <v>12</v>
      </c>
      <c r="B11" s="21"/>
      <c r="C11" s="21"/>
      <c r="D11" s="21"/>
      <c r="E11" s="21"/>
      <c r="F11" s="21"/>
      <c r="G11" s="21"/>
      <c r="H11" s="21"/>
      <c r="I11" s="21"/>
      <c r="J11" s="21"/>
    </row>
    <row r="12" customFormat="false" ht="13.2" hidden="false" customHeight="false" outlineLevel="0" collapsed="false">
      <c r="A12" s="30" t="s">
        <v>313</v>
      </c>
      <c r="B12" s="31" t="s">
        <v>314</v>
      </c>
      <c r="C12" s="31" t="s">
        <v>315</v>
      </c>
      <c r="D12" s="31" t="str">
        <f aca="false">"0,7336"</f>
        <v>0,7336</v>
      </c>
      <c r="E12" s="30" t="s">
        <v>16</v>
      </c>
      <c r="F12" s="30" t="s">
        <v>59</v>
      </c>
      <c r="G12" s="31" t="s">
        <v>316</v>
      </c>
      <c r="H12" s="31" t="s">
        <v>171</v>
      </c>
      <c r="I12" s="38" t="s">
        <v>317</v>
      </c>
      <c r="J12" s="38"/>
      <c r="K12" s="32" t="str">
        <f aca="false">"40,0"</f>
        <v>40,0</v>
      </c>
      <c r="L12" s="33" t="str">
        <f aca="false">"29,3440"</f>
        <v>29,3440</v>
      </c>
      <c r="M12" s="30"/>
    </row>
    <row r="13" customFormat="false" ht="13.2" hidden="false" customHeight="false" outlineLevel="0" collapsed="false">
      <c r="A13" s="34" t="s">
        <v>313</v>
      </c>
      <c r="B13" s="35" t="s">
        <v>318</v>
      </c>
      <c r="C13" s="35" t="s">
        <v>315</v>
      </c>
      <c r="D13" s="35" t="str">
        <f aca="false">"0,7336"</f>
        <v>0,7336</v>
      </c>
      <c r="E13" s="34" t="s">
        <v>16</v>
      </c>
      <c r="F13" s="34" t="s">
        <v>59</v>
      </c>
      <c r="G13" s="35" t="s">
        <v>316</v>
      </c>
      <c r="H13" s="35" t="s">
        <v>171</v>
      </c>
      <c r="I13" s="44" t="s">
        <v>317</v>
      </c>
      <c r="J13" s="44"/>
      <c r="K13" s="36" t="str">
        <f aca="false">"40,0"</f>
        <v>40,0</v>
      </c>
      <c r="L13" s="37" t="str">
        <f aca="false">"29,3440"</f>
        <v>29,3440</v>
      </c>
      <c r="M13" s="34"/>
    </row>
    <row r="15" customFormat="false" ht="15.6" hidden="false" customHeight="false" outlineLevel="0" collapsed="false">
      <c r="A15" s="21" t="s">
        <v>12</v>
      </c>
      <c r="B15" s="21"/>
      <c r="C15" s="21"/>
      <c r="D15" s="21"/>
      <c r="E15" s="21"/>
      <c r="F15" s="21"/>
      <c r="G15" s="21"/>
      <c r="H15" s="21"/>
      <c r="I15" s="21"/>
      <c r="J15" s="21"/>
    </row>
    <row r="16" customFormat="false" ht="13.2" hidden="false" customHeight="false" outlineLevel="0" collapsed="false">
      <c r="A16" s="30" t="s">
        <v>319</v>
      </c>
      <c r="B16" s="31" t="s">
        <v>320</v>
      </c>
      <c r="C16" s="31" t="s">
        <v>161</v>
      </c>
      <c r="D16" s="31" t="str">
        <f aca="false">"0,6652"</f>
        <v>0,6652</v>
      </c>
      <c r="E16" s="30" t="s">
        <v>136</v>
      </c>
      <c r="F16" s="30" t="s">
        <v>17</v>
      </c>
      <c r="G16" s="31" t="s">
        <v>138</v>
      </c>
      <c r="H16" s="38" t="s">
        <v>321</v>
      </c>
      <c r="I16" s="31" t="s">
        <v>321</v>
      </c>
      <c r="J16" s="38"/>
      <c r="K16" s="32" t="str">
        <f aca="false">"62,5"</f>
        <v>62,5</v>
      </c>
      <c r="L16" s="33" t="str">
        <f aca="false">"41,5750"</f>
        <v>41,5750</v>
      </c>
      <c r="M16" s="30"/>
    </row>
    <row r="17" customFormat="false" ht="13.2" hidden="false" customHeight="false" outlineLevel="0" collapsed="false">
      <c r="A17" s="39" t="s">
        <v>322</v>
      </c>
      <c r="B17" s="40" t="s">
        <v>323</v>
      </c>
      <c r="C17" s="40" t="s">
        <v>112</v>
      </c>
      <c r="D17" s="40" t="str">
        <f aca="false">"0,7040"</f>
        <v>0,7040</v>
      </c>
      <c r="E17" s="39" t="s">
        <v>136</v>
      </c>
      <c r="F17" s="39" t="s">
        <v>17</v>
      </c>
      <c r="G17" s="40" t="s">
        <v>324</v>
      </c>
      <c r="H17" s="40" t="s">
        <v>138</v>
      </c>
      <c r="I17" s="41" t="s">
        <v>321</v>
      </c>
      <c r="J17" s="41"/>
      <c r="K17" s="42" t="str">
        <f aca="false">"60,0"</f>
        <v>60,0</v>
      </c>
      <c r="L17" s="43" t="str">
        <f aca="false">"42,6202"</f>
        <v>42,6202</v>
      </c>
      <c r="M17" s="39"/>
    </row>
    <row r="18" customFormat="false" ht="13.2" hidden="false" customHeight="false" outlineLevel="0" collapsed="false">
      <c r="A18" s="39" t="s">
        <v>325</v>
      </c>
      <c r="B18" s="40" t="s">
        <v>326</v>
      </c>
      <c r="C18" s="40" t="s">
        <v>327</v>
      </c>
      <c r="D18" s="40" t="str">
        <f aca="false">"0,6687"</f>
        <v>0,6687</v>
      </c>
      <c r="E18" s="39" t="s">
        <v>16</v>
      </c>
      <c r="F18" s="39" t="s">
        <v>17</v>
      </c>
      <c r="G18" s="40" t="s">
        <v>137</v>
      </c>
      <c r="H18" s="41" t="s">
        <v>324</v>
      </c>
      <c r="I18" s="41" t="s">
        <v>324</v>
      </c>
      <c r="J18" s="41"/>
      <c r="K18" s="42" t="str">
        <f aca="false">"55,0"</f>
        <v>55,0</v>
      </c>
      <c r="L18" s="43" t="str">
        <f aca="false">"54,4322"</f>
        <v>54,4322</v>
      </c>
      <c r="M18" s="39"/>
    </row>
    <row r="19" customFormat="false" ht="13.2" hidden="false" customHeight="false" outlineLevel="0" collapsed="false">
      <c r="A19" s="34" t="s">
        <v>72</v>
      </c>
      <c r="B19" s="35" t="s">
        <v>328</v>
      </c>
      <c r="C19" s="35" t="s">
        <v>74</v>
      </c>
      <c r="D19" s="35" t="str">
        <f aca="false">"0,6708"</f>
        <v>0,6708</v>
      </c>
      <c r="E19" s="34" t="s">
        <v>16</v>
      </c>
      <c r="F19" s="34" t="s">
        <v>75</v>
      </c>
      <c r="G19" s="35" t="s">
        <v>316</v>
      </c>
      <c r="H19" s="35" t="s">
        <v>171</v>
      </c>
      <c r="I19" s="44" t="s">
        <v>329</v>
      </c>
      <c r="J19" s="44"/>
      <c r="K19" s="36" t="str">
        <f aca="false">"40,0"</f>
        <v>40,0</v>
      </c>
      <c r="L19" s="37" t="str">
        <f aca="false">"48,5659"</f>
        <v>48,5659</v>
      </c>
      <c r="M19" s="34"/>
    </row>
    <row r="21" customFormat="false" ht="15.6" hidden="false" customHeight="false" outlineLevel="0" collapsed="false">
      <c r="A21" s="21" t="s">
        <v>330</v>
      </c>
      <c r="B21" s="21"/>
      <c r="C21" s="21"/>
      <c r="D21" s="21"/>
      <c r="E21" s="21"/>
      <c r="F21" s="21"/>
      <c r="G21" s="21"/>
      <c r="H21" s="21"/>
      <c r="I21" s="21"/>
      <c r="J21" s="21"/>
    </row>
    <row r="22" customFormat="false" ht="13.2" hidden="false" customHeight="false" outlineLevel="0" collapsed="false">
      <c r="A22" s="16" t="s">
        <v>165</v>
      </c>
      <c r="B22" s="17" t="s">
        <v>166</v>
      </c>
      <c r="C22" s="17" t="s">
        <v>167</v>
      </c>
      <c r="D22" s="17" t="str">
        <f aca="false">"0,6479"</f>
        <v>0,6479</v>
      </c>
      <c r="E22" s="16" t="s">
        <v>136</v>
      </c>
      <c r="F22" s="16" t="s">
        <v>17</v>
      </c>
      <c r="G22" s="17" t="s">
        <v>138</v>
      </c>
      <c r="H22" s="17" t="s">
        <v>321</v>
      </c>
      <c r="I22" s="18" t="s">
        <v>139</v>
      </c>
      <c r="J22" s="18"/>
      <c r="K22" s="19" t="str">
        <f aca="false">"62,5"</f>
        <v>62,5</v>
      </c>
      <c r="L22" s="20" t="str">
        <f aca="false">"40,4937"</f>
        <v>40,4937</v>
      </c>
      <c r="M22" s="16"/>
    </row>
    <row r="24" customFormat="false" ht="15.6" hidden="false" customHeight="false" outlineLevel="0" collapsed="false">
      <c r="A24" s="21" t="s">
        <v>78</v>
      </c>
      <c r="B24" s="21"/>
      <c r="C24" s="21"/>
      <c r="D24" s="21"/>
      <c r="E24" s="21"/>
      <c r="F24" s="21"/>
      <c r="G24" s="21"/>
      <c r="H24" s="21"/>
      <c r="I24" s="21"/>
      <c r="J24" s="21"/>
    </row>
    <row r="25" customFormat="false" ht="13.2" hidden="false" customHeight="false" outlineLevel="0" collapsed="false">
      <c r="A25" s="30" t="s">
        <v>331</v>
      </c>
      <c r="B25" s="31" t="s">
        <v>332</v>
      </c>
      <c r="C25" s="31" t="s">
        <v>333</v>
      </c>
      <c r="D25" s="31" t="str">
        <f aca="false">"0,5857"</f>
        <v>0,5857</v>
      </c>
      <c r="E25" s="30" t="s">
        <v>25</v>
      </c>
      <c r="F25" s="30" t="s">
        <v>17</v>
      </c>
      <c r="G25" s="31" t="s">
        <v>76</v>
      </c>
      <c r="H25" s="38" t="s">
        <v>143</v>
      </c>
      <c r="I25" s="38" t="s">
        <v>143</v>
      </c>
      <c r="J25" s="38"/>
      <c r="K25" s="32" t="str">
        <f aca="false">"75,0"</f>
        <v>75,0</v>
      </c>
      <c r="L25" s="33" t="str">
        <f aca="false">"43,9275"</f>
        <v>43,9275</v>
      </c>
      <c r="M25" s="30"/>
    </row>
    <row r="26" customFormat="false" ht="13.2" hidden="false" customHeight="false" outlineLevel="0" collapsed="false">
      <c r="A26" s="34" t="s">
        <v>334</v>
      </c>
      <c r="B26" s="35" t="s">
        <v>335</v>
      </c>
      <c r="C26" s="35" t="s">
        <v>336</v>
      </c>
      <c r="D26" s="35" t="str">
        <f aca="false">"0,5853"</f>
        <v>0,5853</v>
      </c>
      <c r="E26" s="34" t="s">
        <v>16</v>
      </c>
      <c r="F26" s="34" t="s">
        <v>17</v>
      </c>
      <c r="G26" s="35" t="s">
        <v>138</v>
      </c>
      <c r="H26" s="35" t="s">
        <v>139</v>
      </c>
      <c r="I26" s="44" t="s">
        <v>337</v>
      </c>
      <c r="J26" s="44"/>
      <c r="K26" s="36" t="str">
        <f aca="false">"65,0"</f>
        <v>65,0</v>
      </c>
      <c r="L26" s="37" t="str">
        <f aca="false">"38,0445"</f>
        <v>38,0445</v>
      </c>
      <c r="M26" s="34"/>
    </row>
    <row r="28" customFormat="false" ht="15.6" hidden="false" customHeight="false" outlineLevel="0" collapsed="false">
      <c r="A28" s="21" t="s">
        <v>179</v>
      </c>
      <c r="B28" s="21"/>
      <c r="C28" s="21"/>
      <c r="D28" s="21"/>
      <c r="E28" s="21"/>
      <c r="F28" s="21"/>
      <c r="G28" s="21"/>
      <c r="H28" s="21"/>
      <c r="I28" s="21"/>
      <c r="J28" s="21"/>
    </row>
    <row r="29" customFormat="false" ht="13.2" hidden="false" customHeight="false" outlineLevel="0" collapsed="false">
      <c r="A29" s="30" t="s">
        <v>338</v>
      </c>
      <c r="B29" s="31" t="s">
        <v>339</v>
      </c>
      <c r="C29" s="31" t="s">
        <v>340</v>
      </c>
      <c r="D29" s="31" t="str">
        <f aca="false">"0,5630"</f>
        <v>0,5630</v>
      </c>
      <c r="E29" s="30" t="s">
        <v>16</v>
      </c>
      <c r="F29" s="30" t="s">
        <v>17</v>
      </c>
      <c r="G29" s="31" t="s">
        <v>138</v>
      </c>
      <c r="H29" s="31" t="s">
        <v>321</v>
      </c>
      <c r="I29" s="31" t="s">
        <v>139</v>
      </c>
      <c r="J29" s="38"/>
      <c r="K29" s="32" t="str">
        <f aca="false">"65,0"</f>
        <v>65,0</v>
      </c>
      <c r="L29" s="33" t="str">
        <f aca="false">"36,5950"</f>
        <v>36,5950</v>
      </c>
      <c r="M29" s="30"/>
    </row>
    <row r="30" customFormat="false" ht="13.2" hidden="false" customHeight="false" outlineLevel="0" collapsed="false">
      <c r="A30" s="34" t="s">
        <v>341</v>
      </c>
      <c r="B30" s="35" t="s">
        <v>342</v>
      </c>
      <c r="C30" s="35" t="s">
        <v>343</v>
      </c>
      <c r="D30" s="35" t="str">
        <f aca="false">"0,5697"</f>
        <v>0,5697</v>
      </c>
      <c r="E30" s="34" t="s">
        <v>16</v>
      </c>
      <c r="F30" s="34" t="s">
        <v>344</v>
      </c>
      <c r="G30" s="35" t="s">
        <v>172</v>
      </c>
      <c r="H30" s="35" t="s">
        <v>256</v>
      </c>
      <c r="I30" s="44" t="s">
        <v>139</v>
      </c>
      <c r="J30" s="44"/>
      <c r="K30" s="36" t="str">
        <f aca="false">"60,0"</f>
        <v>60,0</v>
      </c>
      <c r="L30" s="37" t="str">
        <f aca="false">"34,1820"</f>
        <v>34,1820</v>
      </c>
      <c r="M30" s="34"/>
    </row>
    <row r="32" customFormat="false" ht="15.6" hidden="false" customHeight="false" outlineLevel="0" collapsed="false">
      <c r="A32" s="21" t="s">
        <v>21</v>
      </c>
      <c r="B32" s="21"/>
      <c r="C32" s="21"/>
      <c r="D32" s="21"/>
      <c r="E32" s="21"/>
      <c r="F32" s="21"/>
      <c r="G32" s="21"/>
      <c r="H32" s="21"/>
      <c r="I32" s="21"/>
      <c r="J32" s="21"/>
    </row>
    <row r="33" customFormat="false" ht="13.2" hidden="false" customHeight="false" outlineLevel="0" collapsed="false">
      <c r="A33" s="16" t="s">
        <v>84</v>
      </c>
      <c r="B33" s="17" t="s">
        <v>85</v>
      </c>
      <c r="C33" s="17" t="s">
        <v>86</v>
      </c>
      <c r="D33" s="17" t="str">
        <f aca="false">"0,5497"</f>
        <v>0,5497</v>
      </c>
      <c r="E33" s="16" t="s">
        <v>16</v>
      </c>
      <c r="F33" s="16" t="s">
        <v>87</v>
      </c>
      <c r="G33" s="17" t="s">
        <v>171</v>
      </c>
      <c r="H33" s="17" t="s">
        <v>329</v>
      </c>
      <c r="I33" s="18" t="s">
        <v>138</v>
      </c>
      <c r="J33" s="18"/>
      <c r="K33" s="19" t="str">
        <f aca="false">"45,0"</f>
        <v>45,0</v>
      </c>
      <c r="L33" s="20" t="str">
        <f aca="false">"24,7365"</f>
        <v>24,7365</v>
      </c>
      <c r="M33" s="16"/>
    </row>
    <row r="35" customFormat="false" ht="15" hidden="false" customHeight="false" outlineLevel="0" collapsed="false">
      <c r="E35" s="22" t="s">
        <v>29</v>
      </c>
    </row>
    <row r="36" customFormat="false" ht="15" hidden="false" customHeight="false" outlineLevel="0" collapsed="false">
      <c r="E36" s="22" t="s">
        <v>30</v>
      </c>
    </row>
    <row r="37" customFormat="false" ht="15" hidden="false" customHeight="false" outlineLevel="0" collapsed="false">
      <c r="E37" s="22" t="s">
        <v>31</v>
      </c>
    </row>
    <row r="38" customFormat="false" ht="13.2" hidden="false" customHeight="false" outlineLevel="0" collapsed="false">
      <c r="E38" s="1" t="s">
        <v>32</v>
      </c>
    </row>
    <row r="39" customFormat="false" ht="13.2" hidden="false" customHeight="false" outlineLevel="0" collapsed="false">
      <c r="E39" s="1" t="s">
        <v>33</v>
      </c>
    </row>
    <row r="40" customFormat="false" ht="13.2" hidden="false" customHeight="false" outlineLevel="0" collapsed="false">
      <c r="E40" s="1" t="s">
        <v>34</v>
      </c>
    </row>
    <row r="43" customFormat="false" ht="17.4" hidden="false" customHeight="false" outlineLevel="0" collapsed="false">
      <c r="A43" s="23" t="s">
        <v>35</v>
      </c>
      <c r="B43" s="24"/>
    </row>
    <row r="44" customFormat="false" ht="15.6" hidden="false" customHeight="false" outlineLevel="0" collapsed="false">
      <c r="A44" s="25" t="s">
        <v>36</v>
      </c>
      <c r="B44" s="21"/>
    </row>
    <row r="45" customFormat="false" ht="14.4" hidden="false" customHeight="false" outlineLevel="0" collapsed="false">
      <c r="A45" s="26"/>
      <c r="B45" s="27" t="s">
        <v>299</v>
      </c>
    </row>
    <row r="46" customFormat="false" ht="13.8" hidden="false" customHeight="false" outlineLevel="0" collapsed="false">
      <c r="A46" s="28" t="s">
        <v>1</v>
      </c>
      <c r="B46" s="28" t="s">
        <v>38</v>
      </c>
      <c r="C46" s="28" t="s">
        <v>39</v>
      </c>
      <c r="D46" s="28" t="s">
        <v>40</v>
      </c>
      <c r="E46" s="28" t="s">
        <v>261</v>
      </c>
    </row>
    <row r="47" customFormat="false" ht="13.2" hidden="false" customHeight="false" outlineLevel="0" collapsed="false">
      <c r="A47" s="29" t="s">
        <v>184</v>
      </c>
      <c r="B47" s="2" t="s">
        <v>300</v>
      </c>
      <c r="C47" s="2" t="s">
        <v>345</v>
      </c>
      <c r="D47" s="2" t="s">
        <v>312</v>
      </c>
      <c r="E47" s="3" t="s">
        <v>346</v>
      </c>
    </row>
    <row r="49" customFormat="false" ht="14.4" hidden="false" customHeight="false" outlineLevel="0" collapsed="false">
      <c r="A49" s="26"/>
      <c r="B49" s="27" t="s">
        <v>46</v>
      </c>
    </row>
    <row r="50" customFormat="false" ht="13.8" hidden="false" customHeight="false" outlineLevel="0" collapsed="false">
      <c r="A50" s="28" t="s">
        <v>1</v>
      </c>
      <c r="B50" s="28" t="s">
        <v>38</v>
      </c>
      <c r="C50" s="28" t="s">
        <v>39</v>
      </c>
      <c r="D50" s="28" t="s">
        <v>40</v>
      </c>
      <c r="E50" s="28" t="s">
        <v>261</v>
      </c>
    </row>
    <row r="51" customFormat="false" ht="13.2" hidden="false" customHeight="false" outlineLevel="0" collapsed="false">
      <c r="A51" s="29" t="s">
        <v>347</v>
      </c>
      <c r="B51" s="2" t="s">
        <v>46</v>
      </c>
      <c r="C51" s="2" t="s">
        <v>43</v>
      </c>
      <c r="D51" s="2" t="s">
        <v>171</v>
      </c>
      <c r="E51" s="3" t="s">
        <v>348</v>
      </c>
    </row>
    <row r="52" customFormat="false" ht="13.2" hidden="false" customHeight="false" outlineLevel="0" collapsed="false">
      <c r="A52" s="29" t="s">
        <v>349</v>
      </c>
      <c r="B52" s="2" t="s">
        <v>46</v>
      </c>
      <c r="C52" s="2" t="s">
        <v>350</v>
      </c>
      <c r="D52" s="2" t="s">
        <v>308</v>
      </c>
      <c r="E52" s="3" t="s">
        <v>351</v>
      </c>
    </row>
    <row r="54" customFormat="false" ht="14.4" hidden="false" customHeight="false" outlineLevel="0" collapsed="false">
      <c r="A54" s="26"/>
      <c r="B54" s="27" t="s">
        <v>37</v>
      </c>
    </row>
    <row r="55" customFormat="false" ht="13.8" hidden="false" customHeight="false" outlineLevel="0" collapsed="false">
      <c r="A55" s="28" t="s">
        <v>1</v>
      </c>
      <c r="B55" s="28" t="s">
        <v>38</v>
      </c>
      <c r="C55" s="28" t="s">
        <v>39</v>
      </c>
      <c r="D55" s="28" t="s">
        <v>40</v>
      </c>
      <c r="E55" s="28" t="s">
        <v>261</v>
      </c>
    </row>
    <row r="56" customFormat="false" ht="13.2" hidden="false" customHeight="false" outlineLevel="0" collapsed="false">
      <c r="A56" s="29" t="s">
        <v>347</v>
      </c>
      <c r="B56" s="2" t="s">
        <v>352</v>
      </c>
      <c r="C56" s="2" t="s">
        <v>43</v>
      </c>
      <c r="D56" s="2" t="s">
        <v>171</v>
      </c>
      <c r="E56" s="3" t="s">
        <v>348</v>
      </c>
    </row>
    <row r="59" customFormat="false" ht="15.6" hidden="false" customHeight="false" outlineLevel="0" collapsed="false">
      <c r="A59" s="25" t="s">
        <v>45</v>
      </c>
      <c r="B59" s="21"/>
    </row>
    <row r="60" customFormat="false" ht="14.4" hidden="false" customHeight="false" outlineLevel="0" collapsed="false">
      <c r="A60" s="26"/>
      <c r="B60" s="27" t="s">
        <v>280</v>
      </c>
    </row>
    <row r="61" customFormat="false" ht="13.8" hidden="false" customHeight="false" outlineLevel="0" collapsed="false">
      <c r="A61" s="28" t="s">
        <v>1</v>
      </c>
      <c r="B61" s="28" t="s">
        <v>38</v>
      </c>
      <c r="C61" s="28" t="s">
        <v>39</v>
      </c>
      <c r="D61" s="28" t="s">
        <v>40</v>
      </c>
      <c r="E61" s="28" t="s">
        <v>261</v>
      </c>
    </row>
    <row r="62" customFormat="false" ht="13.2" hidden="false" customHeight="false" outlineLevel="0" collapsed="false">
      <c r="A62" s="29" t="s">
        <v>198</v>
      </c>
      <c r="B62" s="2" t="s">
        <v>353</v>
      </c>
      <c r="C62" s="2" t="s">
        <v>43</v>
      </c>
      <c r="D62" s="2" t="s">
        <v>321</v>
      </c>
      <c r="E62" s="3" t="s">
        <v>354</v>
      </c>
    </row>
    <row r="64" customFormat="false" ht="14.4" hidden="false" customHeight="false" outlineLevel="0" collapsed="false">
      <c r="A64" s="26"/>
      <c r="B64" s="27" t="s">
        <v>46</v>
      </c>
    </row>
    <row r="65" customFormat="false" ht="13.8" hidden="false" customHeight="false" outlineLevel="0" collapsed="false">
      <c r="A65" s="28" t="s">
        <v>1</v>
      </c>
      <c r="B65" s="28" t="s">
        <v>38</v>
      </c>
      <c r="C65" s="28" t="s">
        <v>39</v>
      </c>
      <c r="D65" s="28" t="s">
        <v>40</v>
      </c>
      <c r="E65" s="28" t="s">
        <v>261</v>
      </c>
    </row>
    <row r="66" customFormat="false" ht="13.2" hidden="false" customHeight="false" outlineLevel="0" collapsed="false">
      <c r="A66" s="29" t="s">
        <v>355</v>
      </c>
      <c r="B66" s="2" t="s">
        <v>46</v>
      </c>
      <c r="C66" s="2" t="s">
        <v>102</v>
      </c>
      <c r="D66" s="2" t="s">
        <v>76</v>
      </c>
      <c r="E66" s="3" t="s">
        <v>356</v>
      </c>
    </row>
    <row r="67" customFormat="false" ht="13.2" hidden="false" customHeight="false" outlineLevel="0" collapsed="false">
      <c r="A67" s="29" t="s">
        <v>204</v>
      </c>
      <c r="B67" s="2" t="s">
        <v>46</v>
      </c>
      <c r="C67" s="2" t="s">
        <v>357</v>
      </c>
      <c r="D67" s="2" t="s">
        <v>321</v>
      </c>
      <c r="E67" s="3" t="s">
        <v>358</v>
      </c>
    </row>
    <row r="68" customFormat="false" ht="13.2" hidden="false" customHeight="false" outlineLevel="0" collapsed="false">
      <c r="A68" s="29" t="s">
        <v>359</v>
      </c>
      <c r="B68" s="2" t="s">
        <v>46</v>
      </c>
      <c r="C68" s="2" t="s">
        <v>102</v>
      </c>
      <c r="D68" s="2" t="s">
        <v>139</v>
      </c>
      <c r="E68" s="3" t="s">
        <v>360</v>
      </c>
    </row>
    <row r="69" customFormat="false" ht="13.2" hidden="false" customHeight="false" outlineLevel="0" collapsed="false">
      <c r="A69" s="29" t="s">
        <v>361</v>
      </c>
      <c r="B69" s="2" t="s">
        <v>46</v>
      </c>
      <c r="C69" s="2" t="s">
        <v>191</v>
      </c>
      <c r="D69" s="2" t="s">
        <v>139</v>
      </c>
      <c r="E69" s="3" t="s">
        <v>362</v>
      </c>
    </row>
    <row r="70" customFormat="false" ht="13.2" hidden="false" customHeight="false" outlineLevel="0" collapsed="false">
      <c r="A70" s="29" t="s">
        <v>93</v>
      </c>
      <c r="B70" s="2" t="s">
        <v>46</v>
      </c>
      <c r="C70" s="2" t="s">
        <v>48</v>
      </c>
      <c r="D70" s="2" t="s">
        <v>329</v>
      </c>
      <c r="E70" s="3" t="s">
        <v>363</v>
      </c>
    </row>
    <row r="72" customFormat="false" ht="14.4" hidden="false" customHeight="false" outlineLevel="0" collapsed="false">
      <c r="A72" s="26"/>
      <c r="B72" s="27" t="s">
        <v>364</v>
      </c>
    </row>
    <row r="73" customFormat="false" ht="13.8" hidden="false" customHeight="false" outlineLevel="0" collapsed="false">
      <c r="A73" s="28" t="s">
        <v>1</v>
      </c>
      <c r="B73" s="28" t="s">
        <v>38</v>
      </c>
      <c r="C73" s="28" t="s">
        <v>39</v>
      </c>
      <c r="D73" s="28" t="s">
        <v>40</v>
      </c>
      <c r="E73" s="28" t="s">
        <v>261</v>
      </c>
    </row>
    <row r="74" customFormat="false" ht="13.2" hidden="false" customHeight="false" outlineLevel="0" collapsed="false">
      <c r="A74" s="29" t="s">
        <v>365</v>
      </c>
      <c r="B74" s="2" t="s">
        <v>366</v>
      </c>
      <c r="C74" s="2" t="s">
        <v>191</v>
      </c>
      <c r="D74" s="2" t="s">
        <v>138</v>
      </c>
      <c r="E74" s="3" t="s">
        <v>367</v>
      </c>
    </row>
    <row r="76" customFormat="false" ht="14.4" hidden="false" customHeight="false" outlineLevel="0" collapsed="false">
      <c r="A76" s="26"/>
      <c r="B76" s="27" t="s">
        <v>37</v>
      </c>
    </row>
    <row r="77" customFormat="false" ht="13.8" hidden="false" customHeight="false" outlineLevel="0" collapsed="false">
      <c r="A77" s="28" t="s">
        <v>1</v>
      </c>
      <c r="B77" s="28" t="s">
        <v>38</v>
      </c>
      <c r="C77" s="28" t="s">
        <v>39</v>
      </c>
      <c r="D77" s="28" t="s">
        <v>40</v>
      </c>
      <c r="E77" s="28" t="s">
        <v>261</v>
      </c>
    </row>
    <row r="78" customFormat="false" ht="13.2" hidden="false" customHeight="false" outlineLevel="0" collapsed="false">
      <c r="A78" s="29" t="s">
        <v>368</v>
      </c>
      <c r="B78" s="2" t="s">
        <v>288</v>
      </c>
      <c r="C78" s="2" t="s">
        <v>43</v>
      </c>
      <c r="D78" s="2" t="s">
        <v>137</v>
      </c>
      <c r="E78" s="3" t="s">
        <v>369</v>
      </c>
    </row>
    <row r="79" customFormat="false" ht="13.2" hidden="false" customHeight="false" outlineLevel="0" collapsed="false">
      <c r="A79" s="29" t="s">
        <v>96</v>
      </c>
      <c r="B79" s="2" t="s">
        <v>370</v>
      </c>
      <c r="C79" s="2" t="s">
        <v>43</v>
      </c>
      <c r="D79" s="2" t="s">
        <v>171</v>
      </c>
      <c r="E79" s="3" t="s">
        <v>371</v>
      </c>
    </row>
    <row r="80" customFormat="false" ht="13.2" hidden="false" customHeight="false" outlineLevel="0" collapsed="false">
      <c r="A80" s="29" t="s">
        <v>214</v>
      </c>
      <c r="B80" s="2" t="s">
        <v>352</v>
      </c>
      <c r="C80" s="2" t="s">
        <v>43</v>
      </c>
      <c r="D80" s="2" t="s">
        <v>138</v>
      </c>
      <c r="E80" s="3" t="s">
        <v>372</v>
      </c>
    </row>
  </sheetData>
  <mergeCells count="19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  <mergeCell ref="A11:J11"/>
    <mergeCell ref="A15:J15"/>
    <mergeCell ref="A21:J21"/>
    <mergeCell ref="A24:J24"/>
    <mergeCell ref="A28:J28"/>
    <mergeCell ref="A32:J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890625" defaultRowHeight="13.2" zeroHeight="false" outlineLevelRow="0" outlineLevelCol="0"/>
  <cols>
    <col collapsed="false" customWidth="true" hidden="false" outlineLevel="0" max="1" min="1" style="1" width="24.87"/>
    <col collapsed="false" customWidth="true" hidden="false" outlineLevel="0" max="2" min="2" style="2" width="30.43"/>
    <col collapsed="false" customWidth="true" hidden="false" outlineLevel="0" max="3" min="3" style="2" width="7.56"/>
    <col collapsed="false" customWidth="true" hidden="false" outlineLevel="0" max="4" min="4" style="2" width="8.79"/>
    <col collapsed="false" customWidth="true" hidden="false" outlineLevel="0" max="5" min="5" style="1" width="17"/>
    <col collapsed="false" customWidth="true" hidden="false" outlineLevel="0" max="6" min="6" style="1" width="30.1"/>
    <col collapsed="false" customWidth="true" hidden="false" outlineLevel="0" max="9" min="7" style="2" width="4.56"/>
    <col collapsed="false" customWidth="true" hidden="false" outlineLevel="0" max="10" min="10" style="2" width="4.78"/>
    <col collapsed="false" customWidth="true" hidden="false" outlineLevel="0" max="11" min="11" style="3" width="5.78"/>
    <col collapsed="false" customWidth="true" hidden="false" outlineLevel="0" max="12" min="12" style="4" width="7.56"/>
    <col collapsed="false" customWidth="true" hidden="false" outlineLevel="0" max="13" min="13" style="1" width="7.11"/>
    <col collapsed="false" customWidth="false" hidden="false" outlineLevel="0" max="1024" min="14" style="5" width="9.12"/>
  </cols>
  <sheetData>
    <row r="1" s="7" customFormat="true" ht="28.95" hidden="false" customHeight="true" outlineLevel="0" collapsed="false">
      <c r="A1" s="6" t="s">
        <v>373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261</v>
      </c>
      <c r="E3" s="10" t="s">
        <v>5</v>
      </c>
      <c r="F3" s="10" t="s">
        <v>6</v>
      </c>
      <c r="G3" s="11" t="s">
        <v>374</v>
      </c>
      <c r="H3" s="11"/>
      <c r="I3" s="11"/>
      <c r="J3" s="11"/>
      <c r="K3" s="10" t="s">
        <v>8</v>
      </c>
      <c r="L3" s="10" t="s">
        <v>9</v>
      </c>
      <c r="M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0"/>
      <c r="L4" s="10"/>
      <c r="M4" s="12"/>
    </row>
    <row r="5" s="2" customFormat="true" ht="15.6" hidden="false" customHeight="false" outlineLevel="0" collapsed="false">
      <c r="A5" s="15" t="s">
        <v>179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4"/>
      <c r="M5" s="1"/>
    </row>
    <row r="6" s="2" customFormat="true" ht="13.2" hidden="false" customHeight="false" outlineLevel="0" collapsed="false">
      <c r="A6" s="16" t="s">
        <v>341</v>
      </c>
      <c r="B6" s="17" t="s">
        <v>342</v>
      </c>
      <c r="C6" s="17" t="s">
        <v>343</v>
      </c>
      <c r="D6" s="17" t="str">
        <f aca="false">"0,5697"</f>
        <v>0,5697</v>
      </c>
      <c r="E6" s="16" t="s">
        <v>16</v>
      </c>
      <c r="F6" s="16" t="s">
        <v>344</v>
      </c>
      <c r="G6" s="17" t="s">
        <v>113</v>
      </c>
      <c r="H6" s="17" t="s">
        <v>375</v>
      </c>
      <c r="I6" s="17" t="s">
        <v>158</v>
      </c>
      <c r="J6" s="18"/>
      <c r="K6" s="19" t="str">
        <f aca="false">"85,0"</f>
        <v>85,0</v>
      </c>
      <c r="L6" s="20" t="str">
        <f aca="false">"48,4245"</f>
        <v>48,4245</v>
      </c>
      <c r="M6" s="16"/>
    </row>
    <row r="7" s="2" customFormat="true" ht="13.2" hidden="false" customHeight="false" outlineLevel="0" collapsed="false">
      <c r="A7" s="1"/>
      <c r="E7" s="1"/>
      <c r="F7" s="1"/>
      <c r="K7" s="3"/>
      <c r="L7" s="4"/>
      <c r="M7" s="1"/>
    </row>
    <row r="8" customFormat="false" ht="15.6" hidden="false" customHeight="false" outlineLevel="0" collapsed="false">
      <c r="A8" s="21" t="s">
        <v>21</v>
      </c>
      <c r="B8" s="21"/>
      <c r="C8" s="21"/>
      <c r="D8" s="21"/>
      <c r="E8" s="21"/>
      <c r="F8" s="21"/>
      <c r="G8" s="21"/>
      <c r="H8" s="21"/>
      <c r="I8" s="21"/>
      <c r="J8" s="21"/>
    </row>
    <row r="9" customFormat="false" ht="13.2" hidden="false" customHeight="false" outlineLevel="0" collapsed="false">
      <c r="A9" s="16" t="s">
        <v>84</v>
      </c>
      <c r="B9" s="17" t="s">
        <v>85</v>
      </c>
      <c r="C9" s="17" t="s">
        <v>86</v>
      </c>
      <c r="D9" s="17" t="str">
        <f aca="false">"0,5497"</f>
        <v>0,5497</v>
      </c>
      <c r="E9" s="16" t="s">
        <v>16</v>
      </c>
      <c r="F9" s="16" t="s">
        <v>87</v>
      </c>
      <c r="G9" s="17" t="s">
        <v>171</v>
      </c>
      <c r="H9" s="17" t="s">
        <v>329</v>
      </c>
      <c r="I9" s="17" t="s">
        <v>137</v>
      </c>
      <c r="J9" s="18"/>
      <c r="K9" s="19" t="str">
        <f aca="false">"55,0"</f>
        <v>55,0</v>
      </c>
      <c r="L9" s="20" t="str">
        <f aca="false">"30,2335"</f>
        <v>30,2335</v>
      </c>
      <c r="M9" s="16"/>
    </row>
    <row r="11" customFormat="false" ht="15" hidden="false" customHeight="false" outlineLevel="0" collapsed="false">
      <c r="E11" s="22" t="s">
        <v>29</v>
      </c>
    </row>
    <row r="12" customFormat="false" ht="15" hidden="false" customHeight="false" outlineLevel="0" collapsed="false">
      <c r="E12" s="22" t="s">
        <v>30</v>
      </c>
    </row>
    <row r="13" customFormat="false" ht="15" hidden="false" customHeight="false" outlineLevel="0" collapsed="false">
      <c r="E13" s="22" t="s">
        <v>31</v>
      </c>
    </row>
    <row r="14" customFormat="false" ht="13.2" hidden="false" customHeight="false" outlineLevel="0" collapsed="false">
      <c r="E14" s="1" t="s">
        <v>32</v>
      </c>
    </row>
    <row r="15" customFormat="false" ht="13.2" hidden="false" customHeight="false" outlineLevel="0" collapsed="false">
      <c r="E15" s="1" t="s">
        <v>33</v>
      </c>
    </row>
    <row r="16" customFormat="false" ht="13.2" hidden="false" customHeight="false" outlineLevel="0" collapsed="false">
      <c r="E16" s="1" t="s">
        <v>34</v>
      </c>
    </row>
    <row r="19" customFormat="false" ht="17.4" hidden="false" customHeight="false" outlineLevel="0" collapsed="false">
      <c r="A19" s="23" t="s">
        <v>35</v>
      </c>
      <c r="B19" s="24"/>
    </row>
    <row r="20" customFormat="false" ht="15.6" hidden="false" customHeight="false" outlineLevel="0" collapsed="false">
      <c r="A20" s="25" t="s">
        <v>45</v>
      </c>
      <c r="B20" s="21"/>
    </row>
    <row r="21" customFormat="false" ht="14.4" hidden="false" customHeight="false" outlineLevel="0" collapsed="false">
      <c r="A21" s="26"/>
      <c r="B21" s="27" t="s">
        <v>46</v>
      </c>
    </row>
    <row r="22" customFormat="false" ht="13.8" hidden="false" customHeight="false" outlineLevel="0" collapsed="false">
      <c r="A22" s="28" t="s">
        <v>1</v>
      </c>
      <c r="B22" s="28" t="s">
        <v>38</v>
      </c>
      <c r="C22" s="28" t="s">
        <v>39</v>
      </c>
      <c r="D22" s="28" t="s">
        <v>40</v>
      </c>
      <c r="E22" s="28" t="s">
        <v>261</v>
      </c>
    </row>
    <row r="23" customFormat="false" ht="13.2" hidden="false" customHeight="false" outlineLevel="0" collapsed="false">
      <c r="A23" s="29" t="s">
        <v>93</v>
      </c>
      <c r="B23" s="2" t="s">
        <v>46</v>
      </c>
      <c r="C23" s="2" t="s">
        <v>48</v>
      </c>
      <c r="D23" s="2" t="s">
        <v>137</v>
      </c>
      <c r="E23" s="3" t="s">
        <v>376</v>
      </c>
    </row>
    <row r="25" customFormat="false" ht="14.4" hidden="false" customHeight="false" outlineLevel="0" collapsed="false">
      <c r="A25" s="26"/>
      <c r="B25" s="27" t="s">
        <v>364</v>
      </c>
    </row>
    <row r="26" customFormat="false" ht="13.8" hidden="false" customHeight="false" outlineLevel="0" collapsed="false">
      <c r="A26" s="28" t="s">
        <v>1</v>
      </c>
      <c r="B26" s="28" t="s">
        <v>38</v>
      </c>
      <c r="C26" s="28" t="s">
        <v>39</v>
      </c>
      <c r="D26" s="28" t="s">
        <v>40</v>
      </c>
      <c r="E26" s="28" t="s">
        <v>261</v>
      </c>
    </row>
    <row r="27" customFormat="false" ht="13.2" hidden="false" customHeight="false" outlineLevel="0" collapsed="false">
      <c r="A27" s="29" t="s">
        <v>365</v>
      </c>
      <c r="B27" s="2" t="s">
        <v>366</v>
      </c>
      <c r="C27" s="2" t="s">
        <v>191</v>
      </c>
      <c r="D27" s="2" t="s">
        <v>158</v>
      </c>
      <c r="E27" s="3" t="s">
        <v>377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1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890625" defaultRowHeight="13.2" zeroHeight="false" outlineLevelRow="0" outlineLevelCol="0"/>
  <cols>
    <col collapsed="false" customWidth="true" hidden="false" outlineLevel="0" max="1" min="1" style="1" width="24.87"/>
    <col collapsed="false" customWidth="true" hidden="false" outlineLevel="0" max="2" min="2" style="2" width="30.43"/>
    <col collapsed="false" customWidth="true" hidden="false" outlineLevel="0" max="3" min="3" style="2" width="7.56"/>
    <col collapsed="false" customWidth="true" hidden="false" outlineLevel="0" max="4" min="4" style="2" width="8.79"/>
    <col collapsed="false" customWidth="true" hidden="false" outlineLevel="0" max="5" min="5" style="1" width="17"/>
    <col collapsed="false" customWidth="true" hidden="false" outlineLevel="0" max="6" min="6" style="1" width="30.43"/>
    <col collapsed="false" customWidth="true" hidden="false" outlineLevel="0" max="9" min="7" style="2" width="5.55"/>
    <col collapsed="false" customWidth="true" hidden="false" outlineLevel="0" max="10" min="10" style="2" width="4.78"/>
    <col collapsed="false" customWidth="true" hidden="false" outlineLevel="0" max="13" min="11" style="2" width="5.55"/>
    <col collapsed="false" customWidth="true" hidden="false" outlineLevel="0" max="14" min="14" style="2" width="4.78"/>
    <col collapsed="false" customWidth="true" hidden="false" outlineLevel="0" max="18" min="15" style="2" width="5.55"/>
    <col collapsed="false" customWidth="true" hidden="false" outlineLevel="0" max="19" min="19" style="3" width="5.78"/>
    <col collapsed="false" customWidth="true" hidden="false" outlineLevel="0" max="20" min="20" style="4" width="8.56"/>
    <col collapsed="false" customWidth="true" hidden="false" outlineLevel="0" max="21" min="21" style="1" width="13.1"/>
    <col collapsed="false" customWidth="false" hidden="false" outlineLevel="0" max="1024" min="22" style="5" width="9.12"/>
  </cols>
  <sheetData>
    <row r="1" s="7" customFormat="true" ht="28.95" hidden="false" customHeight="true" outlineLevel="0" collapsed="false">
      <c r="A1" s="6" t="s">
        <v>378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261</v>
      </c>
      <c r="E3" s="10" t="s">
        <v>5</v>
      </c>
      <c r="F3" s="10" t="s">
        <v>6</v>
      </c>
      <c r="G3" s="11" t="s">
        <v>292</v>
      </c>
      <c r="H3" s="11"/>
      <c r="I3" s="11"/>
      <c r="J3" s="11"/>
      <c r="K3" s="11" t="s">
        <v>7</v>
      </c>
      <c r="L3" s="11"/>
      <c r="M3" s="11"/>
      <c r="N3" s="11"/>
      <c r="O3" s="11" t="s">
        <v>262</v>
      </c>
      <c r="P3" s="11"/>
      <c r="Q3" s="11"/>
      <c r="R3" s="11"/>
      <c r="S3" s="10" t="s">
        <v>263</v>
      </c>
      <c r="T3" s="10" t="s">
        <v>9</v>
      </c>
      <c r="U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4" t="n">
        <v>1</v>
      </c>
      <c r="L4" s="14" t="n">
        <v>2</v>
      </c>
      <c r="M4" s="14" t="n">
        <v>3</v>
      </c>
      <c r="N4" s="14" t="s">
        <v>11</v>
      </c>
      <c r="O4" s="14" t="n">
        <v>1</v>
      </c>
      <c r="P4" s="14" t="n">
        <v>2</v>
      </c>
      <c r="Q4" s="14" t="n">
        <v>3</v>
      </c>
      <c r="R4" s="14" t="s">
        <v>11</v>
      </c>
      <c r="S4" s="10"/>
      <c r="T4" s="10"/>
      <c r="U4" s="12"/>
    </row>
    <row r="5" s="2" customFormat="true" ht="15.6" hidden="false" customHeight="false" outlineLevel="0" collapsed="false">
      <c r="A5" s="15" t="s">
        <v>379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3"/>
      <c r="T5" s="4"/>
      <c r="U5" s="1"/>
    </row>
    <row r="6" s="2" customFormat="true" ht="13.2" hidden="false" customHeight="false" outlineLevel="0" collapsed="false">
      <c r="A6" s="30" t="s">
        <v>380</v>
      </c>
      <c r="B6" s="31" t="s">
        <v>381</v>
      </c>
      <c r="C6" s="31" t="s">
        <v>382</v>
      </c>
      <c r="D6" s="31" t="str">
        <f aca="false">"0,8676"</f>
        <v>0,8676</v>
      </c>
      <c r="E6" s="30" t="s">
        <v>16</v>
      </c>
      <c r="F6" s="30" t="s">
        <v>383</v>
      </c>
      <c r="G6" s="31" t="s">
        <v>20</v>
      </c>
      <c r="H6" s="38" t="s">
        <v>236</v>
      </c>
      <c r="I6" s="38" t="s">
        <v>236</v>
      </c>
      <c r="J6" s="38"/>
      <c r="K6" s="31" t="s">
        <v>171</v>
      </c>
      <c r="L6" s="38" t="s">
        <v>329</v>
      </c>
      <c r="M6" s="31" t="s">
        <v>172</v>
      </c>
      <c r="N6" s="38"/>
      <c r="O6" s="31" t="s">
        <v>20</v>
      </c>
      <c r="P6" s="31" t="s">
        <v>236</v>
      </c>
      <c r="Q6" s="31" t="s">
        <v>237</v>
      </c>
      <c r="R6" s="38"/>
      <c r="S6" s="32" t="str">
        <f aca="false">"310,0"</f>
        <v>310,0</v>
      </c>
      <c r="T6" s="33" t="str">
        <f aca="false">"268,9560"</f>
        <v>268,9560</v>
      </c>
      <c r="U6" s="30"/>
    </row>
    <row r="7" s="2" customFormat="true" ht="13.2" hidden="false" customHeight="false" outlineLevel="0" collapsed="false">
      <c r="A7" s="34" t="s">
        <v>384</v>
      </c>
      <c r="B7" s="35" t="s">
        <v>385</v>
      </c>
      <c r="C7" s="35" t="s">
        <v>386</v>
      </c>
      <c r="D7" s="35" t="str">
        <f aca="false">"0,8750"</f>
        <v>0,8750</v>
      </c>
      <c r="E7" s="34" t="s">
        <v>16</v>
      </c>
      <c r="F7" s="34" t="s">
        <v>17</v>
      </c>
      <c r="G7" s="35" t="s">
        <v>113</v>
      </c>
      <c r="H7" s="35" t="s">
        <v>143</v>
      </c>
      <c r="I7" s="35" t="s">
        <v>82</v>
      </c>
      <c r="J7" s="44"/>
      <c r="K7" s="35" t="s">
        <v>329</v>
      </c>
      <c r="L7" s="35" t="s">
        <v>172</v>
      </c>
      <c r="M7" s="44" t="s">
        <v>137</v>
      </c>
      <c r="N7" s="44"/>
      <c r="O7" s="35" t="s">
        <v>158</v>
      </c>
      <c r="P7" s="35" t="s">
        <v>144</v>
      </c>
      <c r="Q7" s="35" t="s">
        <v>88</v>
      </c>
      <c r="R7" s="44"/>
      <c r="S7" s="36" t="str">
        <f aca="false">"242,5"</f>
        <v>242,5</v>
      </c>
      <c r="T7" s="37" t="str">
        <f aca="false">"216,0069"</f>
        <v>216,0069</v>
      </c>
      <c r="U7" s="34"/>
    </row>
    <row r="9" customFormat="false" ht="15.6" hidden="false" customHeight="false" outlineLevel="0" collapsed="false">
      <c r="A9" s="21" t="s">
        <v>12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customFormat="false" ht="13.2" hidden="false" customHeight="false" outlineLevel="0" collapsed="false">
      <c r="A10" s="16" t="s">
        <v>387</v>
      </c>
      <c r="B10" s="17" t="s">
        <v>388</v>
      </c>
      <c r="C10" s="17" t="s">
        <v>112</v>
      </c>
      <c r="D10" s="17" t="str">
        <f aca="false">"0,7588"</f>
        <v>0,7588</v>
      </c>
      <c r="E10" s="16" t="s">
        <v>389</v>
      </c>
      <c r="F10" s="16" t="s">
        <v>17</v>
      </c>
      <c r="G10" s="17" t="s">
        <v>139</v>
      </c>
      <c r="H10" s="17" t="s">
        <v>113</v>
      </c>
      <c r="I10" s="17" t="s">
        <v>76</v>
      </c>
      <c r="J10" s="18"/>
      <c r="K10" s="18" t="s">
        <v>309</v>
      </c>
      <c r="L10" s="17" t="s">
        <v>390</v>
      </c>
      <c r="M10" s="17" t="s">
        <v>171</v>
      </c>
      <c r="N10" s="18"/>
      <c r="O10" s="17" t="s">
        <v>158</v>
      </c>
      <c r="P10" s="17" t="s">
        <v>391</v>
      </c>
      <c r="Q10" s="18"/>
      <c r="R10" s="18"/>
      <c r="S10" s="19" t="str">
        <f aca="false">"207,5"</f>
        <v>207,5</v>
      </c>
      <c r="T10" s="20" t="str">
        <f aca="false">"157,4510"</f>
        <v>157,4510</v>
      </c>
      <c r="U10" s="16" t="s">
        <v>392</v>
      </c>
    </row>
    <row r="12" customFormat="false" ht="15.6" hidden="false" customHeight="false" outlineLevel="0" collapsed="false">
      <c r="A12" s="21" t="s">
        <v>330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customFormat="false" ht="13.2" hidden="false" customHeight="false" outlineLevel="0" collapsed="false">
      <c r="A13" s="16" t="s">
        <v>393</v>
      </c>
      <c r="B13" s="17" t="s">
        <v>394</v>
      </c>
      <c r="C13" s="17" t="s">
        <v>395</v>
      </c>
      <c r="D13" s="17" t="str">
        <f aca="false">"0,7175"</f>
        <v>0,7175</v>
      </c>
      <c r="E13" s="16" t="s">
        <v>389</v>
      </c>
      <c r="F13" s="16" t="s">
        <v>17</v>
      </c>
      <c r="G13" s="17" t="s">
        <v>82</v>
      </c>
      <c r="H13" s="17" t="s">
        <v>144</v>
      </c>
      <c r="I13" s="17" t="s">
        <v>18</v>
      </c>
      <c r="J13" s="18"/>
      <c r="K13" s="17" t="s">
        <v>172</v>
      </c>
      <c r="L13" s="18" t="s">
        <v>137</v>
      </c>
      <c r="M13" s="17" t="s">
        <v>137</v>
      </c>
      <c r="N13" s="18"/>
      <c r="O13" s="17" t="s">
        <v>19</v>
      </c>
      <c r="P13" s="17" t="s">
        <v>230</v>
      </c>
      <c r="Q13" s="17" t="s">
        <v>20</v>
      </c>
      <c r="R13" s="17" t="s">
        <v>231</v>
      </c>
      <c r="S13" s="19" t="str">
        <f aca="false">"275,0"</f>
        <v>275,0</v>
      </c>
      <c r="T13" s="20" t="str">
        <f aca="false">"210,9271"</f>
        <v>210,9271</v>
      </c>
      <c r="U13" s="16" t="s">
        <v>392</v>
      </c>
    </row>
    <row r="15" customFormat="false" ht="15.6" hidden="false" customHeight="false" outlineLevel="0" collapsed="false">
      <c r="A15" s="21" t="s">
        <v>78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customFormat="false" ht="13.2" hidden="false" customHeight="false" outlineLevel="0" collapsed="false">
      <c r="A16" s="16" t="s">
        <v>396</v>
      </c>
      <c r="B16" s="17" t="s">
        <v>397</v>
      </c>
      <c r="C16" s="17" t="s">
        <v>398</v>
      </c>
      <c r="D16" s="17" t="str">
        <f aca="false">"0,6371"</f>
        <v>0,6371</v>
      </c>
      <c r="E16" s="16" t="s">
        <v>389</v>
      </c>
      <c r="F16" s="16" t="s">
        <v>17</v>
      </c>
      <c r="G16" s="17" t="s">
        <v>137</v>
      </c>
      <c r="H16" s="17" t="s">
        <v>138</v>
      </c>
      <c r="I16" s="17" t="s">
        <v>139</v>
      </c>
      <c r="J16" s="18"/>
      <c r="K16" s="17" t="s">
        <v>329</v>
      </c>
      <c r="L16" s="17" t="s">
        <v>172</v>
      </c>
      <c r="M16" s="17" t="s">
        <v>109</v>
      </c>
      <c r="N16" s="18"/>
      <c r="O16" s="17" t="s">
        <v>76</v>
      </c>
      <c r="P16" s="17" t="s">
        <v>266</v>
      </c>
      <c r="Q16" s="17" t="s">
        <v>82</v>
      </c>
      <c r="R16" s="18"/>
      <c r="S16" s="19" t="str">
        <f aca="false">"207,5"</f>
        <v>207,5</v>
      </c>
      <c r="T16" s="20" t="str">
        <f aca="false">"133,3880"</f>
        <v>133,3880</v>
      </c>
      <c r="U16" s="16" t="s">
        <v>392</v>
      </c>
    </row>
    <row r="18" customFormat="false" ht="15.6" hidden="false" customHeight="false" outlineLevel="0" collapsed="false">
      <c r="A18" s="21" t="s">
        <v>310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customFormat="false" ht="13.2" hidden="false" customHeight="false" outlineLevel="0" collapsed="false">
      <c r="A19" s="16" t="s">
        <v>399</v>
      </c>
      <c r="B19" s="17" t="s">
        <v>400</v>
      </c>
      <c r="C19" s="17" t="s">
        <v>401</v>
      </c>
      <c r="D19" s="17" t="str">
        <f aca="false">"0,7327"</f>
        <v>0,7327</v>
      </c>
      <c r="E19" s="16" t="s">
        <v>16</v>
      </c>
      <c r="F19" s="16" t="s">
        <v>402</v>
      </c>
      <c r="G19" s="17" t="s">
        <v>279</v>
      </c>
      <c r="H19" s="18" t="s">
        <v>403</v>
      </c>
      <c r="I19" s="18" t="s">
        <v>403</v>
      </c>
      <c r="J19" s="18"/>
      <c r="K19" s="17" t="s">
        <v>18</v>
      </c>
      <c r="L19" s="17" t="s">
        <v>183</v>
      </c>
      <c r="M19" s="18" t="s">
        <v>19</v>
      </c>
      <c r="N19" s="18"/>
      <c r="O19" s="17" t="s">
        <v>404</v>
      </c>
      <c r="P19" s="17" t="s">
        <v>405</v>
      </c>
      <c r="Q19" s="18" t="s">
        <v>406</v>
      </c>
      <c r="R19" s="18"/>
      <c r="S19" s="19" t="str">
        <f aca="false">"465,0"</f>
        <v>465,0</v>
      </c>
      <c r="T19" s="20" t="str">
        <f aca="false">"340,7055"</f>
        <v>340,7055</v>
      </c>
      <c r="U19" s="16"/>
    </row>
    <row r="21" customFormat="false" ht="15.6" hidden="false" customHeight="false" outlineLevel="0" collapsed="false">
      <c r="A21" s="21" t="s">
        <v>12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customFormat="false" ht="13.2" hidden="false" customHeight="false" outlineLevel="0" collapsed="false">
      <c r="A22" s="16" t="s">
        <v>407</v>
      </c>
      <c r="B22" s="17" t="s">
        <v>408</v>
      </c>
      <c r="C22" s="17" t="s">
        <v>409</v>
      </c>
      <c r="D22" s="17" t="str">
        <f aca="false">"0,6673"</f>
        <v>0,6673</v>
      </c>
      <c r="E22" s="16" t="s">
        <v>16</v>
      </c>
      <c r="F22" s="16" t="s">
        <v>410</v>
      </c>
      <c r="G22" s="18" t="s">
        <v>411</v>
      </c>
      <c r="H22" s="18" t="s">
        <v>412</v>
      </c>
      <c r="I22" s="18" t="s">
        <v>412</v>
      </c>
      <c r="J22" s="18"/>
      <c r="K22" s="18" t="s">
        <v>18</v>
      </c>
      <c r="L22" s="18"/>
      <c r="M22" s="18"/>
      <c r="N22" s="18"/>
      <c r="O22" s="18" t="s">
        <v>405</v>
      </c>
      <c r="P22" s="18"/>
      <c r="Q22" s="18"/>
      <c r="R22" s="18"/>
      <c r="S22" s="19" t="str">
        <f aca="false">"0.00"</f>
        <v>0.00</v>
      </c>
      <c r="T22" s="20" t="str">
        <f aca="false">"0,0000"</f>
        <v>0,0000</v>
      </c>
      <c r="U22" s="16"/>
    </row>
    <row r="24" customFormat="false" ht="15.6" hidden="false" customHeight="false" outlineLevel="0" collapsed="false">
      <c r="A24" s="21" t="s">
        <v>330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customFormat="false" ht="13.2" hidden="false" customHeight="false" outlineLevel="0" collapsed="false">
      <c r="A25" s="30" t="s">
        <v>413</v>
      </c>
      <c r="B25" s="31" t="s">
        <v>414</v>
      </c>
      <c r="C25" s="31" t="s">
        <v>167</v>
      </c>
      <c r="D25" s="31" t="str">
        <f aca="false">"0,6479"</f>
        <v>0,6479</v>
      </c>
      <c r="E25" s="30" t="s">
        <v>389</v>
      </c>
      <c r="F25" s="30" t="s">
        <v>17</v>
      </c>
      <c r="G25" s="31" t="s">
        <v>143</v>
      </c>
      <c r="H25" s="31" t="s">
        <v>158</v>
      </c>
      <c r="I25" s="31" t="s">
        <v>82</v>
      </c>
      <c r="J25" s="38"/>
      <c r="K25" s="31" t="s">
        <v>138</v>
      </c>
      <c r="L25" s="31" t="s">
        <v>139</v>
      </c>
      <c r="M25" s="31" t="s">
        <v>113</v>
      </c>
      <c r="N25" s="38"/>
      <c r="O25" s="31" t="s">
        <v>82</v>
      </c>
      <c r="P25" s="31" t="s">
        <v>144</v>
      </c>
      <c r="Q25" s="31" t="s">
        <v>18</v>
      </c>
      <c r="R25" s="38" t="s">
        <v>183</v>
      </c>
      <c r="S25" s="32" t="str">
        <f aca="false">"260,0"</f>
        <v>260,0</v>
      </c>
      <c r="T25" s="33" t="str">
        <f aca="false">"168,4540"</f>
        <v>168,4540</v>
      </c>
      <c r="U25" s="30" t="s">
        <v>392</v>
      </c>
    </row>
    <row r="26" customFormat="false" ht="13.2" hidden="false" customHeight="false" outlineLevel="0" collapsed="false">
      <c r="A26" s="34" t="s">
        <v>415</v>
      </c>
      <c r="B26" s="35" t="s">
        <v>416</v>
      </c>
      <c r="C26" s="35" t="s">
        <v>417</v>
      </c>
      <c r="D26" s="35" t="str">
        <f aca="false">"0,6209"</f>
        <v>0,6209</v>
      </c>
      <c r="E26" s="34" t="s">
        <v>389</v>
      </c>
      <c r="F26" s="34" t="s">
        <v>17</v>
      </c>
      <c r="G26" s="35" t="s">
        <v>18</v>
      </c>
      <c r="H26" s="35" t="s">
        <v>19</v>
      </c>
      <c r="I26" s="35" t="s">
        <v>20</v>
      </c>
      <c r="J26" s="44"/>
      <c r="K26" s="44" t="s">
        <v>144</v>
      </c>
      <c r="L26" s="35" t="s">
        <v>144</v>
      </c>
      <c r="M26" s="35" t="s">
        <v>18</v>
      </c>
      <c r="N26" s="44"/>
      <c r="O26" s="35" t="s">
        <v>231</v>
      </c>
      <c r="P26" s="35" t="s">
        <v>267</v>
      </c>
      <c r="Q26" s="35" t="s">
        <v>237</v>
      </c>
      <c r="R26" s="44"/>
      <c r="S26" s="36" t="str">
        <f aca="false">"360,0"</f>
        <v>360,0</v>
      </c>
      <c r="T26" s="37" t="str">
        <f aca="false">"223,5240"</f>
        <v>223,5240</v>
      </c>
      <c r="U26" s="34" t="s">
        <v>392</v>
      </c>
    </row>
    <row r="28" customFormat="false" ht="15.6" hidden="false" customHeight="false" outlineLevel="0" collapsed="false">
      <c r="A28" s="21" t="s">
        <v>78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customFormat="false" ht="13.2" hidden="false" customHeight="false" outlineLevel="0" collapsed="false">
      <c r="A29" s="30" t="s">
        <v>418</v>
      </c>
      <c r="B29" s="31" t="s">
        <v>419</v>
      </c>
      <c r="C29" s="31" t="s">
        <v>420</v>
      </c>
      <c r="D29" s="31" t="str">
        <f aca="false">"0,5969"</f>
        <v>0,5969</v>
      </c>
      <c r="E29" s="30" t="s">
        <v>16</v>
      </c>
      <c r="F29" s="30" t="s">
        <v>410</v>
      </c>
      <c r="G29" s="38" t="s">
        <v>412</v>
      </c>
      <c r="H29" s="38" t="s">
        <v>406</v>
      </c>
      <c r="I29" s="31" t="s">
        <v>406</v>
      </c>
      <c r="J29" s="38"/>
      <c r="K29" s="31" t="s">
        <v>237</v>
      </c>
      <c r="L29" s="31" t="s">
        <v>421</v>
      </c>
      <c r="M29" s="31" t="s">
        <v>269</v>
      </c>
      <c r="N29" s="38"/>
      <c r="O29" s="31" t="s">
        <v>28</v>
      </c>
      <c r="P29" s="31" t="s">
        <v>422</v>
      </c>
      <c r="Q29" s="38" t="s">
        <v>423</v>
      </c>
      <c r="R29" s="38"/>
      <c r="S29" s="32" t="str">
        <f aca="false">"605,0"</f>
        <v>605,0</v>
      </c>
      <c r="T29" s="33" t="str">
        <f aca="false">"361,1245"</f>
        <v>361,1245</v>
      </c>
      <c r="U29" s="30"/>
    </row>
    <row r="30" customFormat="false" ht="13.2" hidden="false" customHeight="false" outlineLevel="0" collapsed="false">
      <c r="A30" s="39" t="s">
        <v>424</v>
      </c>
      <c r="B30" s="40" t="s">
        <v>425</v>
      </c>
      <c r="C30" s="40" t="s">
        <v>426</v>
      </c>
      <c r="D30" s="40" t="str">
        <f aca="false">"0,5983"</f>
        <v>0,5983</v>
      </c>
      <c r="E30" s="39" t="s">
        <v>16</v>
      </c>
      <c r="F30" s="39" t="s">
        <v>17</v>
      </c>
      <c r="G30" s="40" t="s">
        <v>427</v>
      </c>
      <c r="H30" s="40" t="s">
        <v>428</v>
      </c>
      <c r="I30" s="40" t="s">
        <v>429</v>
      </c>
      <c r="J30" s="41"/>
      <c r="K30" s="40" t="s">
        <v>236</v>
      </c>
      <c r="L30" s="41" t="s">
        <v>237</v>
      </c>
      <c r="M30" s="41" t="s">
        <v>237</v>
      </c>
      <c r="N30" s="41"/>
      <c r="O30" s="40" t="s">
        <v>28</v>
      </c>
      <c r="P30" s="41" t="s">
        <v>422</v>
      </c>
      <c r="Q30" s="41" t="s">
        <v>422</v>
      </c>
      <c r="R30" s="41"/>
      <c r="S30" s="42" t="str">
        <f aca="false">"562,5"</f>
        <v>562,5</v>
      </c>
      <c r="T30" s="43" t="str">
        <f aca="false">"336,5437"</f>
        <v>336,5437</v>
      </c>
      <c r="U30" s="39"/>
    </row>
    <row r="31" customFormat="false" ht="13.2" hidden="false" customHeight="false" outlineLevel="0" collapsed="false">
      <c r="A31" s="34" t="s">
        <v>430</v>
      </c>
      <c r="B31" s="35" t="s">
        <v>431</v>
      </c>
      <c r="C31" s="35" t="s">
        <v>432</v>
      </c>
      <c r="D31" s="35" t="str">
        <f aca="false">"0,6009"</f>
        <v>0,6009</v>
      </c>
      <c r="E31" s="34" t="s">
        <v>16</v>
      </c>
      <c r="F31" s="34" t="s">
        <v>383</v>
      </c>
      <c r="G31" s="35" t="s">
        <v>278</v>
      </c>
      <c r="H31" s="35" t="s">
        <v>433</v>
      </c>
      <c r="I31" s="35" t="s">
        <v>411</v>
      </c>
      <c r="J31" s="44"/>
      <c r="K31" s="35" t="s">
        <v>20</v>
      </c>
      <c r="L31" s="44" t="s">
        <v>236</v>
      </c>
      <c r="M31" s="35" t="s">
        <v>236</v>
      </c>
      <c r="N31" s="44"/>
      <c r="O31" s="35" t="s">
        <v>237</v>
      </c>
      <c r="P31" s="35" t="s">
        <v>269</v>
      </c>
      <c r="Q31" s="44" t="s">
        <v>403</v>
      </c>
      <c r="R31" s="44"/>
      <c r="S31" s="36" t="str">
        <f aca="false">"470,0"</f>
        <v>470,0</v>
      </c>
      <c r="T31" s="37" t="str">
        <f aca="false">"282,4230"</f>
        <v>282,4230</v>
      </c>
      <c r="U31" s="34"/>
    </row>
    <row r="33" customFormat="false" ht="15.6" hidden="false" customHeight="false" outlineLevel="0" collapsed="false">
      <c r="A33" s="21" t="s">
        <v>179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customFormat="false" ht="13.2" hidden="false" customHeight="false" outlineLevel="0" collapsed="false">
      <c r="A34" s="30" t="s">
        <v>434</v>
      </c>
      <c r="B34" s="31" t="s">
        <v>435</v>
      </c>
      <c r="C34" s="31" t="s">
        <v>343</v>
      </c>
      <c r="D34" s="31" t="str">
        <f aca="false">"0,5697"</f>
        <v>0,5697</v>
      </c>
      <c r="E34" s="30" t="s">
        <v>16</v>
      </c>
      <c r="F34" s="30" t="s">
        <v>383</v>
      </c>
      <c r="G34" s="31" t="s">
        <v>436</v>
      </c>
      <c r="H34" s="38" t="s">
        <v>437</v>
      </c>
      <c r="I34" s="38"/>
      <c r="J34" s="38"/>
      <c r="K34" s="31" t="s">
        <v>278</v>
      </c>
      <c r="L34" s="31" t="s">
        <v>438</v>
      </c>
      <c r="M34" s="38" t="s">
        <v>403</v>
      </c>
      <c r="N34" s="38"/>
      <c r="O34" s="31" t="s">
        <v>283</v>
      </c>
      <c r="P34" s="31" t="s">
        <v>439</v>
      </c>
      <c r="Q34" s="31" t="s">
        <v>440</v>
      </c>
      <c r="R34" s="31" t="s">
        <v>285</v>
      </c>
      <c r="S34" s="32" t="str">
        <f aca="false">"702,5"</f>
        <v>702,5</v>
      </c>
      <c r="T34" s="33" t="str">
        <f aca="false">"400,2143"</f>
        <v>400,2143</v>
      </c>
      <c r="U34" s="30"/>
    </row>
    <row r="35" customFormat="false" ht="13.2" hidden="false" customHeight="false" outlineLevel="0" collapsed="false">
      <c r="A35" s="39" t="s">
        <v>441</v>
      </c>
      <c r="B35" s="40" t="s">
        <v>442</v>
      </c>
      <c r="C35" s="40" t="s">
        <v>443</v>
      </c>
      <c r="D35" s="40" t="str">
        <f aca="false">"0,5555"</f>
        <v>0,5555</v>
      </c>
      <c r="E35" s="39" t="s">
        <v>16</v>
      </c>
      <c r="F35" s="39" t="s">
        <v>17</v>
      </c>
      <c r="G35" s="40" t="s">
        <v>404</v>
      </c>
      <c r="H35" s="40" t="s">
        <v>274</v>
      </c>
      <c r="I35" s="41" t="s">
        <v>27</v>
      </c>
      <c r="J35" s="41"/>
      <c r="K35" s="40" t="s">
        <v>237</v>
      </c>
      <c r="L35" s="41" t="s">
        <v>421</v>
      </c>
      <c r="M35" s="41" t="s">
        <v>421</v>
      </c>
      <c r="N35" s="41"/>
      <c r="O35" s="40" t="s">
        <v>26</v>
      </c>
      <c r="P35" s="40" t="s">
        <v>283</v>
      </c>
      <c r="Q35" s="40" t="s">
        <v>444</v>
      </c>
      <c r="R35" s="41"/>
      <c r="S35" s="42" t="str">
        <f aca="false">"605,0"</f>
        <v>605,0</v>
      </c>
      <c r="T35" s="43" t="str">
        <f aca="false">"336,0775"</f>
        <v>336,0775</v>
      </c>
      <c r="U35" s="39"/>
    </row>
    <row r="36" customFormat="false" ht="13.2" hidden="false" customHeight="false" outlineLevel="0" collapsed="false">
      <c r="A36" s="39" t="s">
        <v>341</v>
      </c>
      <c r="B36" s="40" t="s">
        <v>342</v>
      </c>
      <c r="C36" s="40" t="s">
        <v>343</v>
      </c>
      <c r="D36" s="40" t="str">
        <f aca="false">"0,5697"</f>
        <v>0,5697</v>
      </c>
      <c r="E36" s="39" t="s">
        <v>16</v>
      </c>
      <c r="F36" s="39" t="s">
        <v>344</v>
      </c>
      <c r="G36" s="40" t="s">
        <v>278</v>
      </c>
      <c r="H36" s="40" t="s">
        <v>403</v>
      </c>
      <c r="I36" s="41" t="s">
        <v>427</v>
      </c>
      <c r="J36" s="41"/>
      <c r="K36" s="40" t="s">
        <v>18</v>
      </c>
      <c r="L36" s="40" t="s">
        <v>19</v>
      </c>
      <c r="M36" s="41" t="s">
        <v>230</v>
      </c>
      <c r="N36" s="41"/>
      <c r="O36" s="40" t="s">
        <v>406</v>
      </c>
      <c r="P36" s="40" t="s">
        <v>27</v>
      </c>
      <c r="Q36" s="40" t="s">
        <v>28</v>
      </c>
      <c r="R36" s="41"/>
      <c r="S36" s="42" t="str">
        <f aca="false">"510,0"</f>
        <v>510,0</v>
      </c>
      <c r="T36" s="43" t="str">
        <f aca="false">"290,5470"</f>
        <v>290,5470</v>
      </c>
      <c r="U36" s="39"/>
    </row>
    <row r="37" customFormat="false" ht="13.2" hidden="false" customHeight="false" outlineLevel="0" collapsed="false">
      <c r="A37" s="34" t="s">
        <v>445</v>
      </c>
      <c r="B37" s="35" t="s">
        <v>446</v>
      </c>
      <c r="C37" s="35" t="s">
        <v>447</v>
      </c>
      <c r="D37" s="35" t="str">
        <f aca="false">"0,5613"</f>
        <v>0,5613</v>
      </c>
      <c r="E37" s="34" t="s">
        <v>16</v>
      </c>
      <c r="F37" s="34" t="s">
        <v>17</v>
      </c>
      <c r="G37" s="35" t="s">
        <v>403</v>
      </c>
      <c r="H37" s="35" t="s">
        <v>427</v>
      </c>
      <c r="I37" s="44" t="s">
        <v>405</v>
      </c>
      <c r="J37" s="44"/>
      <c r="K37" s="35" t="s">
        <v>421</v>
      </c>
      <c r="L37" s="35" t="s">
        <v>448</v>
      </c>
      <c r="M37" s="35" t="s">
        <v>279</v>
      </c>
      <c r="N37" s="44"/>
      <c r="O37" s="35" t="s">
        <v>404</v>
      </c>
      <c r="P37" s="35" t="s">
        <v>405</v>
      </c>
      <c r="Q37" s="35" t="s">
        <v>274</v>
      </c>
      <c r="R37" s="44"/>
      <c r="S37" s="36" t="str">
        <f aca="false">"550,0"</f>
        <v>550,0</v>
      </c>
      <c r="T37" s="37" t="str">
        <f aca="false">"311,4934"</f>
        <v>311,4934</v>
      </c>
      <c r="U37" s="34"/>
    </row>
    <row r="39" customFormat="false" ht="15.6" hidden="false" customHeight="false" outlineLevel="0" collapsed="false">
      <c r="A39" s="21" t="s">
        <v>21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customFormat="false" ht="13.2" hidden="false" customHeight="false" outlineLevel="0" collapsed="false">
      <c r="A40" s="30" t="s">
        <v>449</v>
      </c>
      <c r="B40" s="31" t="s">
        <v>450</v>
      </c>
      <c r="C40" s="31" t="s">
        <v>451</v>
      </c>
      <c r="D40" s="31" t="str">
        <f aca="false">"0,5377"</f>
        <v>0,5377</v>
      </c>
      <c r="E40" s="30" t="s">
        <v>16</v>
      </c>
      <c r="F40" s="30" t="s">
        <v>452</v>
      </c>
      <c r="G40" s="31" t="s">
        <v>283</v>
      </c>
      <c r="H40" s="31" t="s">
        <v>444</v>
      </c>
      <c r="I40" s="31" t="s">
        <v>453</v>
      </c>
      <c r="J40" s="38"/>
      <c r="K40" s="31" t="s">
        <v>404</v>
      </c>
      <c r="L40" s="31" t="s">
        <v>405</v>
      </c>
      <c r="M40" s="38" t="s">
        <v>406</v>
      </c>
      <c r="N40" s="38"/>
      <c r="O40" s="31" t="s">
        <v>436</v>
      </c>
      <c r="P40" s="38" t="s">
        <v>454</v>
      </c>
      <c r="Q40" s="38"/>
      <c r="R40" s="38"/>
      <c r="S40" s="32" t="str">
        <f aca="false">"720,0"</f>
        <v>720,0</v>
      </c>
      <c r="T40" s="33" t="str">
        <f aca="false">"387,1440"</f>
        <v>387,1440</v>
      </c>
      <c r="U40" s="30"/>
    </row>
    <row r="41" customFormat="false" ht="13.2" hidden="false" customHeight="false" outlineLevel="0" collapsed="false">
      <c r="A41" s="39" t="s">
        <v>455</v>
      </c>
      <c r="B41" s="40" t="s">
        <v>456</v>
      </c>
      <c r="C41" s="40" t="s">
        <v>457</v>
      </c>
      <c r="D41" s="40" t="str">
        <f aca="false">"0,5424"</f>
        <v>0,5424</v>
      </c>
      <c r="E41" s="39" t="s">
        <v>16</v>
      </c>
      <c r="F41" s="39" t="s">
        <v>383</v>
      </c>
      <c r="G41" s="40" t="s">
        <v>405</v>
      </c>
      <c r="H41" s="40" t="s">
        <v>458</v>
      </c>
      <c r="I41" s="40" t="s">
        <v>28</v>
      </c>
      <c r="J41" s="41"/>
      <c r="K41" s="40" t="s">
        <v>18</v>
      </c>
      <c r="L41" s="40" t="s">
        <v>19</v>
      </c>
      <c r="M41" s="41" t="s">
        <v>20</v>
      </c>
      <c r="N41" s="41"/>
      <c r="O41" s="40" t="s">
        <v>404</v>
      </c>
      <c r="P41" s="40" t="s">
        <v>274</v>
      </c>
      <c r="Q41" s="41" t="s">
        <v>27</v>
      </c>
      <c r="R41" s="41"/>
      <c r="S41" s="42" t="str">
        <f aca="false">"550,0"</f>
        <v>550,0</v>
      </c>
      <c r="T41" s="43" t="str">
        <f aca="false">"298,3200"</f>
        <v>298,3200</v>
      </c>
      <c r="U41" s="39"/>
    </row>
    <row r="42" customFormat="false" ht="13.2" hidden="false" customHeight="false" outlineLevel="0" collapsed="false">
      <c r="A42" s="39" t="s">
        <v>459</v>
      </c>
      <c r="B42" s="40" t="s">
        <v>460</v>
      </c>
      <c r="C42" s="40" t="s">
        <v>461</v>
      </c>
      <c r="D42" s="40" t="str">
        <f aca="false">"0,5508"</f>
        <v>0,5508</v>
      </c>
      <c r="E42" s="39" t="s">
        <v>16</v>
      </c>
      <c r="F42" s="39" t="s">
        <v>17</v>
      </c>
      <c r="G42" s="40" t="s">
        <v>268</v>
      </c>
      <c r="H42" s="40" t="s">
        <v>269</v>
      </c>
      <c r="I42" s="40" t="s">
        <v>279</v>
      </c>
      <c r="J42" s="41"/>
      <c r="K42" s="40" t="s">
        <v>144</v>
      </c>
      <c r="L42" s="40" t="s">
        <v>183</v>
      </c>
      <c r="M42" s="41" t="s">
        <v>19</v>
      </c>
      <c r="N42" s="41"/>
      <c r="O42" s="40" t="s">
        <v>404</v>
      </c>
      <c r="P42" s="40" t="s">
        <v>405</v>
      </c>
      <c r="Q42" s="40" t="s">
        <v>406</v>
      </c>
      <c r="R42" s="41"/>
      <c r="S42" s="42" t="str">
        <f aca="false">"470,0"</f>
        <v>470,0</v>
      </c>
      <c r="T42" s="43" t="str">
        <f aca="false">"258,8760"</f>
        <v>258,8760</v>
      </c>
      <c r="U42" s="39"/>
    </row>
    <row r="43" customFormat="false" ht="13.2" hidden="false" customHeight="false" outlineLevel="0" collapsed="false">
      <c r="A43" s="39" t="s">
        <v>449</v>
      </c>
      <c r="B43" s="40" t="s">
        <v>462</v>
      </c>
      <c r="C43" s="40" t="s">
        <v>451</v>
      </c>
      <c r="D43" s="40" t="str">
        <f aca="false">"0,5377"</f>
        <v>0,5377</v>
      </c>
      <c r="E43" s="39" t="s">
        <v>16</v>
      </c>
      <c r="F43" s="39" t="s">
        <v>452</v>
      </c>
      <c r="G43" s="40" t="s">
        <v>283</v>
      </c>
      <c r="H43" s="40" t="s">
        <v>444</v>
      </c>
      <c r="I43" s="40" t="s">
        <v>453</v>
      </c>
      <c r="J43" s="41"/>
      <c r="K43" s="40" t="s">
        <v>404</v>
      </c>
      <c r="L43" s="40" t="s">
        <v>405</v>
      </c>
      <c r="M43" s="41" t="s">
        <v>406</v>
      </c>
      <c r="N43" s="41"/>
      <c r="O43" s="40" t="s">
        <v>436</v>
      </c>
      <c r="P43" s="41" t="s">
        <v>454</v>
      </c>
      <c r="Q43" s="41"/>
      <c r="R43" s="41"/>
      <c r="S43" s="42" t="str">
        <f aca="false">"720,0"</f>
        <v>720,0</v>
      </c>
      <c r="T43" s="43" t="str">
        <f aca="false">"387,1440"</f>
        <v>387,1440</v>
      </c>
      <c r="U43" s="39"/>
    </row>
    <row r="44" customFormat="false" ht="13.2" hidden="false" customHeight="false" outlineLevel="0" collapsed="false">
      <c r="A44" s="34" t="s">
        <v>84</v>
      </c>
      <c r="B44" s="35" t="s">
        <v>463</v>
      </c>
      <c r="C44" s="35" t="s">
        <v>86</v>
      </c>
      <c r="D44" s="35" t="str">
        <f aca="false">"0,5497"</f>
        <v>0,5497</v>
      </c>
      <c r="E44" s="34" t="s">
        <v>16</v>
      </c>
      <c r="F44" s="34" t="s">
        <v>87</v>
      </c>
      <c r="G44" s="35" t="s">
        <v>19</v>
      </c>
      <c r="H44" s="35" t="s">
        <v>230</v>
      </c>
      <c r="I44" s="35" t="s">
        <v>20</v>
      </c>
      <c r="J44" s="44"/>
      <c r="K44" s="35" t="s">
        <v>267</v>
      </c>
      <c r="L44" s="44" t="s">
        <v>277</v>
      </c>
      <c r="M44" s="35" t="s">
        <v>277</v>
      </c>
      <c r="N44" s="44"/>
      <c r="O44" s="35" t="s">
        <v>237</v>
      </c>
      <c r="P44" s="35" t="s">
        <v>278</v>
      </c>
      <c r="Q44" s="35" t="s">
        <v>279</v>
      </c>
      <c r="R44" s="44"/>
      <c r="S44" s="36" t="str">
        <f aca="false">"422,5"</f>
        <v>422,5</v>
      </c>
      <c r="T44" s="37" t="str">
        <f aca="false">"272,4272"</f>
        <v>272,4272</v>
      </c>
      <c r="U44" s="34"/>
    </row>
    <row r="46" customFormat="false" ht="15" hidden="false" customHeight="false" outlineLevel="0" collapsed="false">
      <c r="E46" s="22" t="s">
        <v>29</v>
      </c>
    </row>
    <row r="47" customFormat="false" ht="15" hidden="false" customHeight="false" outlineLevel="0" collapsed="false">
      <c r="E47" s="22" t="s">
        <v>30</v>
      </c>
    </row>
    <row r="48" customFormat="false" ht="15" hidden="false" customHeight="false" outlineLevel="0" collapsed="false">
      <c r="E48" s="22" t="s">
        <v>31</v>
      </c>
    </row>
    <row r="49" customFormat="false" ht="13.2" hidden="false" customHeight="false" outlineLevel="0" collapsed="false">
      <c r="E49" s="1" t="s">
        <v>32</v>
      </c>
    </row>
    <row r="50" customFormat="false" ht="13.2" hidden="false" customHeight="false" outlineLevel="0" collapsed="false">
      <c r="E50" s="1" t="s">
        <v>33</v>
      </c>
    </row>
    <row r="51" customFormat="false" ht="13.2" hidden="false" customHeight="false" outlineLevel="0" collapsed="false">
      <c r="E51" s="1" t="s">
        <v>34</v>
      </c>
    </row>
    <row r="54" customFormat="false" ht="17.4" hidden="false" customHeight="false" outlineLevel="0" collapsed="false">
      <c r="A54" s="23" t="s">
        <v>35</v>
      </c>
      <c r="B54" s="24"/>
    </row>
    <row r="55" customFormat="false" ht="15.6" hidden="false" customHeight="false" outlineLevel="0" collapsed="false">
      <c r="A55" s="25" t="s">
        <v>36</v>
      </c>
      <c r="B55" s="21"/>
    </row>
    <row r="56" customFormat="false" ht="14.4" hidden="false" customHeight="false" outlineLevel="0" collapsed="false">
      <c r="A56" s="26"/>
      <c r="B56" s="27" t="s">
        <v>46</v>
      </c>
    </row>
    <row r="57" customFormat="false" ht="13.8" hidden="false" customHeight="false" outlineLevel="0" collapsed="false">
      <c r="A57" s="28" t="s">
        <v>1</v>
      </c>
      <c r="B57" s="28" t="s">
        <v>38</v>
      </c>
      <c r="C57" s="28" t="s">
        <v>39</v>
      </c>
      <c r="D57" s="28" t="s">
        <v>281</v>
      </c>
      <c r="E57" s="28" t="s">
        <v>261</v>
      </c>
    </row>
    <row r="58" customFormat="false" ht="13.2" hidden="false" customHeight="false" outlineLevel="0" collapsed="false">
      <c r="A58" s="29" t="s">
        <v>464</v>
      </c>
      <c r="B58" s="2" t="s">
        <v>46</v>
      </c>
      <c r="C58" s="2" t="s">
        <v>465</v>
      </c>
      <c r="D58" s="2" t="s">
        <v>466</v>
      </c>
      <c r="E58" s="3" t="s">
        <v>467</v>
      </c>
    </row>
    <row r="59" customFormat="false" ht="13.2" hidden="false" customHeight="false" outlineLevel="0" collapsed="false">
      <c r="A59" s="29" t="s">
        <v>468</v>
      </c>
      <c r="B59" s="2" t="s">
        <v>46</v>
      </c>
      <c r="C59" s="2" t="s">
        <v>43</v>
      </c>
      <c r="D59" s="2" t="s">
        <v>469</v>
      </c>
      <c r="E59" s="3" t="s">
        <v>470</v>
      </c>
    </row>
    <row r="61" customFormat="false" ht="14.4" hidden="false" customHeight="false" outlineLevel="0" collapsed="false">
      <c r="A61" s="26"/>
      <c r="B61" s="27" t="s">
        <v>37</v>
      </c>
    </row>
    <row r="62" customFormat="false" ht="13.8" hidden="false" customHeight="false" outlineLevel="0" collapsed="false">
      <c r="A62" s="28" t="s">
        <v>1</v>
      </c>
      <c r="B62" s="28" t="s">
        <v>38</v>
      </c>
      <c r="C62" s="28" t="s">
        <v>39</v>
      </c>
      <c r="D62" s="28" t="s">
        <v>281</v>
      </c>
      <c r="E62" s="28" t="s">
        <v>261</v>
      </c>
    </row>
    <row r="63" customFormat="false" ht="13.2" hidden="false" customHeight="false" outlineLevel="0" collapsed="false">
      <c r="A63" s="29" t="s">
        <v>471</v>
      </c>
      <c r="B63" s="2" t="s">
        <v>352</v>
      </c>
      <c r="C63" s="2" t="s">
        <v>465</v>
      </c>
      <c r="D63" s="2" t="s">
        <v>472</v>
      </c>
      <c r="E63" s="3" t="s">
        <v>473</v>
      </c>
    </row>
    <row r="64" customFormat="false" ht="13.2" hidden="false" customHeight="false" outlineLevel="0" collapsed="false">
      <c r="A64" s="29" t="s">
        <v>474</v>
      </c>
      <c r="B64" s="2" t="s">
        <v>475</v>
      </c>
      <c r="C64" s="2" t="s">
        <v>357</v>
      </c>
      <c r="D64" s="2" t="s">
        <v>476</v>
      </c>
      <c r="E64" s="3" t="s">
        <v>477</v>
      </c>
    </row>
    <row r="65" customFormat="false" ht="13.2" hidden="false" customHeight="false" outlineLevel="0" collapsed="false">
      <c r="A65" s="29" t="s">
        <v>478</v>
      </c>
      <c r="B65" s="2" t="s">
        <v>352</v>
      </c>
      <c r="C65" s="2" t="s">
        <v>102</v>
      </c>
      <c r="D65" s="2" t="s">
        <v>469</v>
      </c>
      <c r="E65" s="3" t="s">
        <v>479</v>
      </c>
    </row>
    <row r="68" customFormat="false" ht="15.6" hidden="false" customHeight="false" outlineLevel="0" collapsed="false">
      <c r="A68" s="25" t="s">
        <v>45</v>
      </c>
      <c r="B68" s="21"/>
    </row>
    <row r="69" customFormat="false" ht="14.4" hidden="false" customHeight="false" outlineLevel="0" collapsed="false">
      <c r="A69" s="26"/>
      <c r="B69" s="27" t="s">
        <v>480</v>
      </c>
    </row>
    <row r="70" customFormat="false" ht="13.8" hidden="false" customHeight="false" outlineLevel="0" collapsed="false">
      <c r="A70" s="28" t="s">
        <v>1</v>
      </c>
      <c r="B70" s="28" t="s">
        <v>38</v>
      </c>
      <c r="C70" s="28" t="s">
        <v>39</v>
      </c>
      <c r="D70" s="28" t="s">
        <v>281</v>
      </c>
      <c r="E70" s="28" t="s">
        <v>261</v>
      </c>
    </row>
    <row r="71" customFormat="false" ht="13.2" hidden="false" customHeight="false" outlineLevel="0" collapsed="false">
      <c r="A71" s="29" t="s">
        <v>481</v>
      </c>
      <c r="B71" s="2" t="s">
        <v>482</v>
      </c>
      <c r="C71" s="2" t="s">
        <v>357</v>
      </c>
      <c r="D71" s="2" t="s">
        <v>439</v>
      </c>
      <c r="E71" s="3" t="s">
        <v>483</v>
      </c>
    </row>
    <row r="73" customFormat="false" ht="14.4" hidden="false" customHeight="false" outlineLevel="0" collapsed="false">
      <c r="A73" s="26"/>
      <c r="B73" s="27" t="s">
        <v>280</v>
      </c>
    </row>
    <row r="74" customFormat="false" ht="13.8" hidden="false" customHeight="false" outlineLevel="0" collapsed="false">
      <c r="A74" s="28" t="s">
        <v>1</v>
      </c>
      <c r="B74" s="28" t="s">
        <v>38</v>
      </c>
      <c r="C74" s="28" t="s">
        <v>39</v>
      </c>
      <c r="D74" s="28" t="s">
        <v>281</v>
      </c>
      <c r="E74" s="28" t="s">
        <v>261</v>
      </c>
    </row>
    <row r="75" customFormat="false" ht="13.2" hidden="false" customHeight="false" outlineLevel="0" collapsed="false">
      <c r="A75" s="29" t="s">
        <v>484</v>
      </c>
      <c r="B75" s="2" t="s">
        <v>282</v>
      </c>
      <c r="C75" s="2" t="s">
        <v>357</v>
      </c>
      <c r="D75" s="2" t="s">
        <v>485</v>
      </c>
      <c r="E75" s="3" t="s">
        <v>486</v>
      </c>
    </row>
    <row r="77" customFormat="false" ht="14.4" hidden="false" customHeight="false" outlineLevel="0" collapsed="false">
      <c r="A77" s="26"/>
      <c r="B77" s="27" t="s">
        <v>299</v>
      </c>
    </row>
    <row r="78" customFormat="false" ht="13.8" hidden="false" customHeight="false" outlineLevel="0" collapsed="false">
      <c r="A78" s="28" t="s">
        <v>1</v>
      </c>
      <c r="B78" s="28" t="s">
        <v>38</v>
      </c>
      <c r="C78" s="28" t="s">
        <v>39</v>
      </c>
      <c r="D78" s="28" t="s">
        <v>281</v>
      </c>
      <c r="E78" s="28" t="s">
        <v>261</v>
      </c>
    </row>
    <row r="79" customFormat="false" ht="13.2" hidden="false" customHeight="false" outlineLevel="0" collapsed="false">
      <c r="A79" s="29" t="s">
        <v>487</v>
      </c>
      <c r="B79" s="2" t="s">
        <v>300</v>
      </c>
      <c r="C79" s="2" t="s">
        <v>102</v>
      </c>
      <c r="D79" s="2" t="s">
        <v>488</v>
      </c>
      <c r="E79" s="3" t="s">
        <v>489</v>
      </c>
    </row>
    <row r="81" customFormat="false" ht="14.4" hidden="false" customHeight="false" outlineLevel="0" collapsed="false">
      <c r="A81" s="26"/>
      <c r="B81" s="27" t="s">
        <v>46</v>
      </c>
    </row>
    <row r="82" customFormat="false" ht="13.8" hidden="false" customHeight="false" outlineLevel="0" collapsed="false">
      <c r="A82" s="28" t="s">
        <v>1</v>
      </c>
      <c r="B82" s="28" t="s">
        <v>38</v>
      </c>
      <c r="C82" s="28" t="s">
        <v>39</v>
      </c>
      <c r="D82" s="28" t="s">
        <v>281</v>
      </c>
      <c r="E82" s="28" t="s">
        <v>261</v>
      </c>
    </row>
    <row r="83" customFormat="false" ht="13.2" hidden="false" customHeight="false" outlineLevel="0" collapsed="false">
      <c r="A83" s="29" t="s">
        <v>490</v>
      </c>
      <c r="B83" s="2" t="s">
        <v>46</v>
      </c>
      <c r="C83" s="2" t="s">
        <v>191</v>
      </c>
      <c r="D83" s="2" t="s">
        <v>491</v>
      </c>
      <c r="E83" s="3" t="s">
        <v>492</v>
      </c>
    </row>
    <row r="84" customFormat="false" ht="13.2" hidden="false" customHeight="false" outlineLevel="0" collapsed="false">
      <c r="A84" s="29" t="s">
        <v>493</v>
      </c>
      <c r="B84" s="2" t="s">
        <v>46</v>
      </c>
      <c r="C84" s="2" t="s">
        <v>48</v>
      </c>
      <c r="D84" s="2" t="s">
        <v>494</v>
      </c>
      <c r="E84" s="3" t="s">
        <v>495</v>
      </c>
    </row>
    <row r="85" customFormat="false" ht="13.2" hidden="false" customHeight="false" outlineLevel="0" collapsed="false">
      <c r="A85" s="29" t="s">
        <v>496</v>
      </c>
      <c r="B85" s="2" t="s">
        <v>46</v>
      </c>
      <c r="C85" s="2" t="s">
        <v>345</v>
      </c>
      <c r="D85" s="2" t="s">
        <v>497</v>
      </c>
      <c r="E85" s="3" t="s">
        <v>498</v>
      </c>
    </row>
    <row r="86" customFormat="false" ht="13.2" hidden="false" customHeight="false" outlineLevel="0" collapsed="false">
      <c r="A86" s="29" t="s">
        <v>499</v>
      </c>
      <c r="B86" s="2" t="s">
        <v>46</v>
      </c>
      <c r="C86" s="2" t="s">
        <v>102</v>
      </c>
      <c r="D86" s="2" t="s">
        <v>500</v>
      </c>
      <c r="E86" s="3" t="s">
        <v>501</v>
      </c>
    </row>
    <row r="87" customFormat="false" ht="13.2" hidden="false" customHeight="false" outlineLevel="0" collapsed="false">
      <c r="A87" s="29" t="s">
        <v>502</v>
      </c>
      <c r="B87" s="2" t="s">
        <v>46</v>
      </c>
      <c r="C87" s="2" t="s">
        <v>191</v>
      </c>
      <c r="D87" s="2" t="s">
        <v>488</v>
      </c>
      <c r="E87" s="3" t="s">
        <v>503</v>
      </c>
    </row>
    <row r="88" customFormat="false" ht="13.2" hidden="false" customHeight="false" outlineLevel="0" collapsed="false">
      <c r="A88" s="29" t="s">
        <v>504</v>
      </c>
      <c r="B88" s="2" t="s">
        <v>46</v>
      </c>
      <c r="C88" s="2" t="s">
        <v>48</v>
      </c>
      <c r="D88" s="2" t="s">
        <v>505</v>
      </c>
      <c r="E88" s="3" t="s">
        <v>506</v>
      </c>
    </row>
    <row r="89" customFormat="false" ht="13.2" hidden="false" customHeight="false" outlineLevel="0" collapsed="false">
      <c r="A89" s="29" t="s">
        <v>507</v>
      </c>
      <c r="B89" s="2" t="s">
        <v>46</v>
      </c>
      <c r="C89" s="2" t="s">
        <v>102</v>
      </c>
      <c r="D89" s="2" t="s">
        <v>508</v>
      </c>
      <c r="E89" s="3" t="s">
        <v>509</v>
      </c>
    </row>
    <row r="90" customFormat="false" ht="13.2" hidden="false" customHeight="false" outlineLevel="0" collapsed="false">
      <c r="A90" s="29" t="s">
        <v>510</v>
      </c>
      <c r="B90" s="2" t="s">
        <v>46</v>
      </c>
      <c r="C90" s="2" t="s">
        <v>48</v>
      </c>
      <c r="D90" s="2" t="s">
        <v>508</v>
      </c>
      <c r="E90" s="3" t="s">
        <v>511</v>
      </c>
    </row>
    <row r="92" customFormat="false" ht="14.4" hidden="false" customHeight="false" outlineLevel="0" collapsed="false">
      <c r="A92" s="26"/>
      <c r="B92" s="27" t="s">
        <v>364</v>
      </c>
    </row>
    <row r="93" customFormat="false" ht="13.8" hidden="false" customHeight="false" outlineLevel="0" collapsed="false">
      <c r="A93" s="28" t="s">
        <v>1</v>
      </c>
      <c r="B93" s="28" t="s">
        <v>38</v>
      </c>
      <c r="C93" s="28" t="s">
        <v>39</v>
      </c>
      <c r="D93" s="28" t="s">
        <v>281</v>
      </c>
      <c r="E93" s="28" t="s">
        <v>261</v>
      </c>
    </row>
    <row r="94" customFormat="false" ht="13.2" hidden="false" customHeight="false" outlineLevel="0" collapsed="false">
      <c r="A94" s="29" t="s">
        <v>365</v>
      </c>
      <c r="B94" s="2" t="s">
        <v>366</v>
      </c>
      <c r="C94" s="2" t="s">
        <v>191</v>
      </c>
      <c r="D94" s="2" t="s">
        <v>512</v>
      </c>
      <c r="E94" s="3" t="s">
        <v>513</v>
      </c>
    </row>
    <row r="96" customFormat="false" ht="14.4" hidden="false" customHeight="false" outlineLevel="0" collapsed="false">
      <c r="A96" s="26"/>
      <c r="B96" s="27" t="s">
        <v>37</v>
      </c>
    </row>
    <row r="97" customFormat="false" ht="13.8" hidden="false" customHeight="false" outlineLevel="0" collapsed="false">
      <c r="A97" s="28" t="s">
        <v>1</v>
      </c>
      <c r="B97" s="28" t="s">
        <v>38</v>
      </c>
      <c r="C97" s="28" t="s">
        <v>39</v>
      </c>
      <c r="D97" s="28" t="s">
        <v>281</v>
      </c>
      <c r="E97" s="28" t="s">
        <v>261</v>
      </c>
    </row>
    <row r="98" customFormat="false" ht="13.2" hidden="false" customHeight="false" outlineLevel="0" collapsed="false">
      <c r="A98" s="29" t="s">
        <v>493</v>
      </c>
      <c r="B98" s="2" t="s">
        <v>352</v>
      </c>
      <c r="C98" s="2" t="s">
        <v>48</v>
      </c>
      <c r="D98" s="2" t="s">
        <v>494</v>
      </c>
      <c r="E98" s="3" t="s">
        <v>495</v>
      </c>
    </row>
    <row r="99" customFormat="false" ht="13.2" hidden="false" customHeight="false" outlineLevel="0" collapsed="false">
      <c r="A99" s="29" t="s">
        <v>514</v>
      </c>
      <c r="B99" s="2" t="s">
        <v>352</v>
      </c>
      <c r="C99" s="2" t="s">
        <v>191</v>
      </c>
      <c r="D99" s="2" t="s">
        <v>505</v>
      </c>
      <c r="E99" s="3" t="s">
        <v>515</v>
      </c>
    </row>
    <row r="100" customFormat="false" ht="13.2" hidden="false" customHeight="false" outlineLevel="0" collapsed="false">
      <c r="A100" s="29" t="s">
        <v>93</v>
      </c>
      <c r="B100" s="2" t="s">
        <v>42</v>
      </c>
      <c r="C100" s="2" t="s">
        <v>48</v>
      </c>
      <c r="D100" s="2" t="s">
        <v>516</v>
      </c>
      <c r="E100" s="3" t="s">
        <v>517</v>
      </c>
    </row>
  </sheetData>
  <mergeCells count="23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R5"/>
    <mergeCell ref="A9:R9"/>
    <mergeCell ref="A12:R12"/>
    <mergeCell ref="A15:R15"/>
    <mergeCell ref="A18:R18"/>
    <mergeCell ref="A21:R21"/>
    <mergeCell ref="A24:R24"/>
    <mergeCell ref="A28:R28"/>
    <mergeCell ref="A33:R33"/>
    <mergeCell ref="A39:R3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60" colorId="64" zoomScale="100" zoomScaleNormal="100" zoomScalePageLayoutView="100" workbookViewId="0">
      <selection pane="topLeft" activeCell="A80" activeCellId="0" sqref="A80"/>
    </sheetView>
  </sheetViews>
  <sheetFormatPr defaultColWidth="9.12890625" defaultRowHeight="13.2" zeroHeight="false" outlineLevelRow="0" outlineLevelCol="0"/>
  <cols>
    <col collapsed="false" customWidth="true" hidden="false" outlineLevel="0" max="1" min="1" style="1" width="24.87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8.79"/>
    <col collapsed="false" customWidth="true" hidden="false" outlineLevel="0" max="5" min="5" style="1" width="17"/>
    <col collapsed="false" customWidth="true" hidden="false" outlineLevel="0" max="6" min="6" style="1" width="32"/>
    <col collapsed="false" customWidth="true" hidden="false" outlineLevel="0" max="9" min="7" style="2" width="5.55"/>
    <col collapsed="false" customWidth="true" hidden="false" outlineLevel="0" max="10" min="10" style="2" width="4.78"/>
    <col collapsed="false" customWidth="true" hidden="false" outlineLevel="0" max="11" min="11" style="3" width="5.78"/>
    <col collapsed="false" customWidth="true" hidden="false" outlineLevel="0" max="12" min="12" style="4" width="8.56"/>
    <col collapsed="false" customWidth="true" hidden="false" outlineLevel="0" max="13" min="13" style="1" width="17.56"/>
    <col collapsed="false" customWidth="false" hidden="false" outlineLevel="0" max="1024" min="14" style="5" width="9.12"/>
  </cols>
  <sheetData>
    <row r="1" s="7" customFormat="true" ht="28.95" hidden="false" customHeight="true" outlineLevel="0" collapsed="false">
      <c r="A1" s="6" t="s">
        <v>518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261</v>
      </c>
      <c r="E3" s="10" t="s">
        <v>5</v>
      </c>
      <c r="F3" s="10" t="s">
        <v>6</v>
      </c>
      <c r="G3" s="11" t="s">
        <v>7</v>
      </c>
      <c r="H3" s="11"/>
      <c r="I3" s="11"/>
      <c r="J3" s="11"/>
      <c r="K3" s="10" t="s">
        <v>8</v>
      </c>
      <c r="L3" s="10" t="s">
        <v>9</v>
      </c>
      <c r="M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0"/>
      <c r="L4" s="10"/>
      <c r="M4" s="12"/>
    </row>
    <row r="5" s="2" customFormat="true" ht="15.6" hidden="false" customHeight="false" outlineLevel="0" collapsed="false">
      <c r="A5" s="15" t="s">
        <v>303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4"/>
      <c r="M5" s="1"/>
    </row>
    <row r="6" s="2" customFormat="true" ht="13.2" hidden="false" customHeight="false" outlineLevel="0" collapsed="false">
      <c r="A6" s="16" t="s">
        <v>519</v>
      </c>
      <c r="B6" s="17" t="s">
        <v>520</v>
      </c>
      <c r="C6" s="17" t="s">
        <v>521</v>
      </c>
      <c r="D6" s="17" t="str">
        <f aca="false">"0,9126"</f>
        <v>0,9126</v>
      </c>
      <c r="E6" s="16" t="s">
        <v>16</v>
      </c>
      <c r="F6" s="16" t="s">
        <v>17</v>
      </c>
      <c r="G6" s="17" t="s">
        <v>265</v>
      </c>
      <c r="H6" s="18" t="s">
        <v>266</v>
      </c>
      <c r="I6" s="18" t="s">
        <v>266</v>
      </c>
      <c r="J6" s="18"/>
      <c r="K6" s="19" t="str">
        <f aca="false">"77,5"</f>
        <v>77,5</v>
      </c>
      <c r="L6" s="20" t="str">
        <f aca="false">"70,7265"</f>
        <v>70,7265</v>
      </c>
      <c r="M6" s="16"/>
    </row>
    <row r="7" s="2" customFormat="true" ht="13.2" hidden="false" customHeight="false" outlineLevel="0" collapsed="false">
      <c r="A7" s="1"/>
      <c r="E7" s="1"/>
      <c r="F7" s="1"/>
      <c r="K7" s="3"/>
      <c r="L7" s="4"/>
      <c r="M7" s="1"/>
    </row>
    <row r="8" customFormat="false" ht="15.6" hidden="false" customHeight="false" outlineLevel="0" collapsed="false">
      <c r="A8" s="21" t="s">
        <v>310</v>
      </c>
      <c r="B8" s="21"/>
      <c r="C8" s="21"/>
      <c r="D8" s="21"/>
      <c r="E8" s="21"/>
      <c r="F8" s="21"/>
      <c r="G8" s="21"/>
      <c r="H8" s="21"/>
      <c r="I8" s="21"/>
      <c r="J8" s="21"/>
    </row>
    <row r="9" customFormat="false" ht="13.2" hidden="false" customHeight="false" outlineLevel="0" collapsed="false">
      <c r="A9" s="16" t="s">
        <v>522</v>
      </c>
      <c r="B9" s="17" t="s">
        <v>523</v>
      </c>
      <c r="C9" s="17" t="s">
        <v>524</v>
      </c>
      <c r="D9" s="17" t="str">
        <f aca="false">"0,8095"</f>
        <v>0,8095</v>
      </c>
      <c r="E9" s="16" t="s">
        <v>16</v>
      </c>
      <c r="F9" s="16" t="s">
        <v>17</v>
      </c>
      <c r="G9" s="17" t="s">
        <v>137</v>
      </c>
      <c r="H9" s="17" t="s">
        <v>324</v>
      </c>
      <c r="I9" s="17" t="s">
        <v>138</v>
      </c>
      <c r="J9" s="18"/>
      <c r="K9" s="19" t="str">
        <f aca="false">"60,0"</f>
        <v>60,0</v>
      </c>
      <c r="L9" s="20" t="str">
        <f aca="false">"48,5700"</f>
        <v>48,5700</v>
      </c>
      <c r="M9" s="16"/>
    </row>
    <row r="11" customFormat="false" ht="15.6" hidden="false" customHeight="false" outlineLevel="0" collapsed="false">
      <c r="A11" s="21" t="s">
        <v>12</v>
      </c>
      <c r="B11" s="21"/>
      <c r="C11" s="21"/>
      <c r="D11" s="21"/>
      <c r="E11" s="21"/>
      <c r="F11" s="21"/>
      <c r="G11" s="21"/>
      <c r="H11" s="21"/>
      <c r="I11" s="21"/>
      <c r="J11" s="21"/>
    </row>
    <row r="12" customFormat="false" ht="13.2" hidden="false" customHeight="false" outlineLevel="0" collapsed="false">
      <c r="A12" s="30" t="s">
        <v>525</v>
      </c>
      <c r="B12" s="31" t="s">
        <v>526</v>
      </c>
      <c r="C12" s="31" t="s">
        <v>527</v>
      </c>
      <c r="D12" s="31" t="str">
        <f aca="false">"0,7550"</f>
        <v>0,7550</v>
      </c>
      <c r="E12" s="30" t="s">
        <v>16</v>
      </c>
      <c r="F12" s="30" t="s">
        <v>528</v>
      </c>
      <c r="G12" s="31" t="s">
        <v>143</v>
      </c>
      <c r="H12" s="31" t="s">
        <v>266</v>
      </c>
      <c r="I12" s="38" t="s">
        <v>158</v>
      </c>
      <c r="J12" s="38"/>
      <c r="K12" s="32" t="str">
        <f aca="false">"82,5"</f>
        <v>82,5</v>
      </c>
      <c r="L12" s="33" t="str">
        <f aca="false">"62,2875"</f>
        <v>62,2875</v>
      </c>
      <c r="M12" s="30"/>
    </row>
    <row r="13" customFormat="false" ht="13.2" hidden="false" customHeight="false" outlineLevel="0" collapsed="false">
      <c r="A13" s="34" t="s">
        <v>13</v>
      </c>
      <c r="B13" s="35" t="s">
        <v>14</v>
      </c>
      <c r="C13" s="35" t="s">
        <v>15</v>
      </c>
      <c r="D13" s="35" t="str">
        <f aca="false">"0,7596"</f>
        <v>0,7596</v>
      </c>
      <c r="E13" s="34" t="s">
        <v>16</v>
      </c>
      <c r="F13" s="34" t="s">
        <v>17</v>
      </c>
      <c r="G13" s="35" t="s">
        <v>158</v>
      </c>
      <c r="H13" s="35" t="s">
        <v>82</v>
      </c>
      <c r="I13" s="44" t="s">
        <v>144</v>
      </c>
      <c r="J13" s="44"/>
      <c r="K13" s="36" t="str">
        <f aca="false">"90,0"</f>
        <v>90,0</v>
      </c>
      <c r="L13" s="37" t="str">
        <f aca="false">"90,9241"</f>
        <v>90,9241</v>
      </c>
      <c r="M13" s="34"/>
    </row>
    <row r="15" customFormat="false" ht="15.6" hidden="false" customHeight="false" outlineLevel="0" collapsed="false">
      <c r="A15" s="21" t="s">
        <v>310</v>
      </c>
      <c r="B15" s="21"/>
      <c r="C15" s="21"/>
      <c r="D15" s="21"/>
      <c r="E15" s="21"/>
      <c r="F15" s="21"/>
      <c r="G15" s="21"/>
      <c r="H15" s="21"/>
      <c r="I15" s="21"/>
      <c r="J15" s="21"/>
    </row>
    <row r="16" customFormat="false" ht="13.2" hidden="false" customHeight="false" outlineLevel="0" collapsed="false">
      <c r="A16" s="30" t="s">
        <v>529</v>
      </c>
      <c r="B16" s="31" t="s">
        <v>530</v>
      </c>
      <c r="C16" s="31" t="s">
        <v>531</v>
      </c>
      <c r="D16" s="31" t="str">
        <f aca="false">"0,7471"</f>
        <v>0,7471</v>
      </c>
      <c r="E16" s="30" t="s">
        <v>16</v>
      </c>
      <c r="F16" s="30" t="s">
        <v>17</v>
      </c>
      <c r="G16" s="31" t="s">
        <v>18</v>
      </c>
      <c r="H16" s="31" t="s">
        <v>532</v>
      </c>
      <c r="I16" s="38" t="s">
        <v>19</v>
      </c>
      <c r="J16" s="38"/>
      <c r="K16" s="32" t="str">
        <f aca="false">"107,5"</f>
        <v>107,5</v>
      </c>
      <c r="L16" s="33" t="str">
        <f aca="false">"80,3132"</f>
        <v>80,3132</v>
      </c>
      <c r="M16" s="30"/>
    </row>
    <row r="17" customFormat="false" ht="13.2" hidden="false" customHeight="false" outlineLevel="0" collapsed="false">
      <c r="A17" s="34" t="s">
        <v>533</v>
      </c>
      <c r="B17" s="35" t="s">
        <v>534</v>
      </c>
      <c r="C17" s="35" t="s">
        <v>535</v>
      </c>
      <c r="D17" s="35" t="str">
        <f aca="false">"0,7460"</f>
        <v>0,7460</v>
      </c>
      <c r="E17" s="34" t="s">
        <v>16</v>
      </c>
      <c r="F17" s="34" t="s">
        <v>383</v>
      </c>
      <c r="G17" s="44" t="s">
        <v>536</v>
      </c>
      <c r="H17" s="44" t="s">
        <v>536</v>
      </c>
      <c r="I17" s="44" t="s">
        <v>536</v>
      </c>
      <c r="J17" s="44"/>
      <c r="K17" s="36" t="str">
        <f aca="false">"0.00"</f>
        <v>0.00</v>
      </c>
      <c r="L17" s="37" t="str">
        <f aca="false">"0,0000"</f>
        <v>0,0000</v>
      </c>
      <c r="M17" s="34"/>
    </row>
    <row r="19" customFormat="false" ht="15.6" hidden="false" customHeight="false" outlineLevel="0" collapsed="false">
      <c r="A19" s="21" t="s">
        <v>12</v>
      </c>
      <c r="B19" s="21"/>
      <c r="C19" s="21"/>
      <c r="D19" s="21"/>
      <c r="E19" s="21"/>
      <c r="F19" s="21"/>
      <c r="G19" s="21"/>
      <c r="H19" s="21"/>
      <c r="I19" s="21"/>
      <c r="J19" s="21"/>
    </row>
    <row r="20" customFormat="false" ht="13.2" hidden="false" customHeight="false" outlineLevel="0" collapsed="false">
      <c r="A20" s="16" t="s">
        <v>537</v>
      </c>
      <c r="B20" s="17" t="s">
        <v>538</v>
      </c>
      <c r="C20" s="17" t="s">
        <v>161</v>
      </c>
      <c r="D20" s="17" t="str">
        <f aca="false">"0,6652"</f>
        <v>0,6652</v>
      </c>
      <c r="E20" s="16" t="s">
        <v>16</v>
      </c>
      <c r="F20" s="16" t="s">
        <v>539</v>
      </c>
      <c r="G20" s="18" t="s">
        <v>540</v>
      </c>
      <c r="H20" s="17" t="s">
        <v>540</v>
      </c>
      <c r="I20" s="18" t="s">
        <v>267</v>
      </c>
      <c r="J20" s="18"/>
      <c r="K20" s="19" t="str">
        <f aca="false">"117,5"</f>
        <v>117,5</v>
      </c>
      <c r="L20" s="20" t="str">
        <f aca="false">"78,1610"</f>
        <v>78,1610</v>
      </c>
      <c r="M20" s="16"/>
    </row>
    <row r="22" customFormat="false" ht="15.6" hidden="false" customHeight="false" outlineLevel="0" collapsed="false">
      <c r="A22" s="21" t="s">
        <v>330</v>
      </c>
      <c r="B22" s="21"/>
      <c r="C22" s="21"/>
      <c r="D22" s="21"/>
      <c r="E22" s="21"/>
      <c r="F22" s="21"/>
      <c r="G22" s="21"/>
      <c r="H22" s="21"/>
      <c r="I22" s="21"/>
      <c r="J22" s="21"/>
    </row>
    <row r="23" customFormat="false" ht="13.2" hidden="false" customHeight="false" outlineLevel="0" collapsed="false">
      <c r="A23" s="30" t="s">
        <v>541</v>
      </c>
      <c r="B23" s="31" t="s">
        <v>542</v>
      </c>
      <c r="C23" s="31" t="s">
        <v>543</v>
      </c>
      <c r="D23" s="31" t="str">
        <f aca="false">"0,6251"</f>
        <v>0,6251</v>
      </c>
      <c r="E23" s="30" t="s">
        <v>16</v>
      </c>
      <c r="F23" s="30" t="s">
        <v>307</v>
      </c>
      <c r="G23" s="31" t="s">
        <v>237</v>
      </c>
      <c r="H23" s="31" t="s">
        <v>268</v>
      </c>
      <c r="I23" s="31" t="s">
        <v>544</v>
      </c>
      <c r="J23" s="38"/>
      <c r="K23" s="32" t="str">
        <f aca="false">"147,5"</f>
        <v>147,5</v>
      </c>
      <c r="L23" s="33" t="str">
        <f aca="false">"92,2023"</f>
        <v>92,2023</v>
      </c>
      <c r="M23" s="30"/>
    </row>
    <row r="24" customFormat="false" ht="13.2" hidden="false" customHeight="false" outlineLevel="0" collapsed="false">
      <c r="A24" s="34" t="s">
        <v>541</v>
      </c>
      <c r="B24" s="35" t="s">
        <v>545</v>
      </c>
      <c r="C24" s="35" t="s">
        <v>543</v>
      </c>
      <c r="D24" s="35" t="str">
        <f aca="false">"0,6251"</f>
        <v>0,6251</v>
      </c>
      <c r="E24" s="34" t="s">
        <v>16</v>
      </c>
      <c r="F24" s="34" t="s">
        <v>307</v>
      </c>
      <c r="G24" s="35" t="s">
        <v>237</v>
      </c>
      <c r="H24" s="35" t="s">
        <v>268</v>
      </c>
      <c r="I24" s="35" t="s">
        <v>544</v>
      </c>
      <c r="J24" s="44"/>
      <c r="K24" s="36" t="str">
        <f aca="false">"147,5"</f>
        <v>147,5</v>
      </c>
      <c r="L24" s="37" t="str">
        <f aca="false">"92,2023"</f>
        <v>92,2023</v>
      </c>
      <c r="M24" s="34"/>
    </row>
    <row r="26" customFormat="false" ht="15.6" hidden="false" customHeight="false" outlineLevel="0" collapsed="false">
      <c r="A26" s="21" t="s">
        <v>78</v>
      </c>
      <c r="B26" s="21"/>
      <c r="C26" s="21"/>
      <c r="D26" s="21"/>
      <c r="E26" s="21"/>
      <c r="F26" s="21"/>
      <c r="G26" s="21"/>
      <c r="H26" s="21"/>
      <c r="I26" s="21"/>
      <c r="J26" s="21"/>
    </row>
    <row r="27" customFormat="false" ht="13.2" hidden="false" customHeight="false" outlineLevel="0" collapsed="false">
      <c r="A27" s="30" t="s">
        <v>331</v>
      </c>
      <c r="B27" s="31" t="s">
        <v>332</v>
      </c>
      <c r="C27" s="31" t="s">
        <v>333</v>
      </c>
      <c r="D27" s="31" t="str">
        <f aca="false">"0,5857"</f>
        <v>0,5857</v>
      </c>
      <c r="E27" s="30" t="s">
        <v>25</v>
      </c>
      <c r="F27" s="30" t="s">
        <v>17</v>
      </c>
      <c r="G27" s="31" t="s">
        <v>427</v>
      </c>
      <c r="H27" s="31" t="s">
        <v>411</v>
      </c>
      <c r="I27" s="31" t="s">
        <v>404</v>
      </c>
      <c r="J27" s="38"/>
      <c r="K27" s="32" t="str">
        <f aca="false">"190,0"</f>
        <v>190,0</v>
      </c>
      <c r="L27" s="33" t="str">
        <f aca="false">"111,2830"</f>
        <v>111,2830</v>
      </c>
      <c r="M27" s="30"/>
    </row>
    <row r="28" customFormat="false" ht="13.2" hidden="false" customHeight="false" outlineLevel="0" collapsed="false">
      <c r="A28" s="39" t="s">
        <v>546</v>
      </c>
      <c r="B28" s="40" t="s">
        <v>547</v>
      </c>
      <c r="C28" s="40" t="s">
        <v>81</v>
      </c>
      <c r="D28" s="40" t="str">
        <f aca="false">"0,5943"</f>
        <v>0,5943</v>
      </c>
      <c r="E28" s="39" t="s">
        <v>16</v>
      </c>
      <c r="F28" s="39" t="s">
        <v>17</v>
      </c>
      <c r="G28" s="41" t="s">
        <v>19</v>
      </c>
      <c r="H28" s="41" t="s">
        <v>20</v>
      </c>
      <c r="I28" s="41" t="s">
        <v>548</v>
      </c>
      <c r="J28" s="41"/>
      <c r="K28" s="42" t="str">
        <f aca="false">"0.00"</f>
        <v>0.00</v>
      </c>
      <c r="L28" s="43" t="str">
        <f aca="false">"0,0000"</f>
        <v>0,0000</v>
      </c>
      <c r="M28" s="39" t="s">
        <v>549</v>
      </c>
    </row>
    <row r="29" customFormat="false" ht="13.2" hidden="false" customHeight="false" outlineLevel="0" collapsed="false">
      <c r="A29" s="39" t="s">
        <v>550</v>
      </c>
      <c r="B29" s="40" t="s">
        <v>551</v>
      </c>
      <c r="C29" s="40" t="s">
        <v>552</v>
      </c>
      <c r="D29" s="40" t="str">
        <f aca="false">"0,5869"</f>
        <v>0,5869</v>
      </c>
      <c r="E29" s="39" t="s">
        <v>16</v>
      </c>
      <c r="F29" s="39" t="s">
        <v>553</v>
      </c>
      <c r="G29" s="40" t="s">
        <v>278</v>
      </c>
      <c r="H29" s="40" t="s">
        <v>433</v>
      </c>
      <c r="I29" s="41" t="s">
        <v>554</v>
      </c>
      <c r="J29" s="41"/>
      <c r="K29" s="42" t="str">
        <f aca="false">"165,0"</f>
        <v>165,0</v>
      </c>
      <c r="L29" s="43" t="str">
        <f aca="false">"105,7476"</f>
        <v>105,7476</v>
      </c>
      <c r="M29" s="39"/>
    </row>
    <row r="30" customFormat="false" ht="13.2" hidden="false" customHeight="false" outlineLevel="0" collapsed="false">
      <c r="A30" s="34" t="s">
        <v>79</v>
      </c>
      <c r="B30" s="35" t="s">
        <v>555</v>
      </c>
      <c r="C30" s="35" t="s">
        <v>556</v>
      </c>
      <c r="D30" s="35" t="str">
        <f aca="false">"0,5947"</f>
        <v>0,5947</v>
      </c>
      <c r="E30" s="34" t="s">
        <v>16</v>
      </c>
      <c r="F30" s="34" t="s">
        <v>17</v>
      </c>
      <c r="G30" s="35" t="s">
        <v>183</v>
      </c>
      <c r="H30" s="44" t="s">
        <v>19</v>
      </c>
      <c r="I30" s="44" t="s">
        <v>19</v>
      </c>
      <c r="J30" s="44"/>
      <c r="K30" s="36" t="str">
        <f aca="false">"105,0"</f>
        <v>105,0</v>
      </c>
      <c r="L30" s="37" t="str">
        <f aca="false">"77,3675"</f>
        <v>77,3675</v>
      </c>
      <c r="M30" s="34"/>
    </row>
    <row r="32" customFormat="false" ht="15.6" hidden="false" customHeight="false" outlineLevel="0" collapsed="false">
      <c r="A32" s="21" t="s">
        <v>179</v>
      </c>
      <c r="B32" s="21"/>
      <c r="C32" s="21"/>
      <c r="D32" s="21"/>
      <c r="E32" s="21"/>
      <c r="F32" s="21"/>
      <c r="G32" s="21"/>
      <c r="H32" s="21"/>
      <c r="I32" s="21"/>
      <c r="J32" s="21"/>
    </row>
    <row r="33" customFormat="false" ht="13.2" hidden="false" customHeight="false" outlineLevel="0" collapsed="false">
      <c r="A33" s="39" t="s">
        <v>557</v>
      </c>
      <c r="B33" s="40" t="s">
        <v>558</v>
      </c>
      <c r="C33" s="40" t="s">
        <v>559</v>
      </c>
      <c r="D33" s="40" t="str">
        <f aca="false">"0,5654"</f>
        <v>0,5654</v>
      </c>
      <c r="E33" s="39" t="s">
        <v>16</v>
      </c>
      <c r="F33" s="39" t="s">
        <v>17</v>
      </c>
      <c r="G33" s="40" t="s">
        <v>269</v>
      </c>
      <c r="H33" s="40" t="s">
        <v>433</v>
      </c>
      <c r="I33" s="41" t="s">
        <v>560</v>
      </c>
      <c r="J33" s="41"/>
      <c r="K33" s="42" t="str">
        <f aca="false">"165,0"</f>
        <v>165,0</v>
      </c>
      <c r="L33" s="43" t="str">
        <f aca="false">"93,2910"</f>
        <v>93,2910</v>
      </c>
      <c r="M33" s="39"/>
    </row>
    <row r="34" customFormat="false" ht="13.2" hidden="false" customHeight="false" outlineLevel="0" collapsed="false">
      <c r="A34" s="39" t="s">
        <v>561</v>
      </c>
      <c r="B34" s="40" t="s">
        <v>562</v>
      </c>
      <c r="C34" s="40" t="s">
        <v>563</v>
      </c>
      <c r="D34" s="40" t="str">
        <f aca="false">"0,5761"</f>
        <v>0,5761</v>
      </c>
      <c r="E34" s="39" t="s">
        <v>16</v>
      </c>
      <c r="F34" s="39" t="s">
        <v>564</v>
      </c>
      <c r="G34" s="40" t="s">
        <v>548</v>
      </c>
      <c r="H34" s="40" t="s">
        <v>565</v>
      </c>
      <c r="I34" s="41" t="s">
        <v>277</v>
      </c>
      <c r="J34" s="41"/>
      <c r="K34" s="42" t="str">
        <f aca="false">"137,5"</f>
        <v>137,5</v>
      </c>
      <c r="L34" s="43" t="str">
        <f aca="false">"90,6205"</f>
        <v>90,6205</v>
      </c>
      <c r="M34" s="39"/>
    </row>
    <row r="35" customFormat="false" ht="13.2" hidden="false" customHeight="false" outlineLevel="0" collapsed="false">
      <c r="A35" s="34" t="s">
        <v>270</v>
      </c>
      <c r="B35" s="35" t="s">
        <v>271</v>
      </c>
      <c r="C35" s="35" t="s">
        <v>272</v>
      </c>
      <c r="D35" s="35" t="str">
        <f aca="false">"0,5691"</f>
        <v>0,5691</v>
      </c>
      <c r="E35" s="34" t="s">
        <v>16</v>
      </c>
      <c r="F35" s="34" t="s">
        <v>273</v>
      </c>
      <c r="G35" s="35" t="s">
        <v>236</v>
      </c>
      <c r="H35" s="35" t="s">
        <v>237</v>
      </c>
      <c r="I35" s="44" t="s">
        <v>268</v>
      </c>
      <c r="J35" s="44"/>
      <c r="K35" s="36" t="str">
        <f aca="false">"140,0"</f>
        <v>140,0</v>
      </c>
      <c r="L35" s="37" t="str">
        <f aca="false">"109,9501"</f>
        <v>109,9501</v>
      </c>
      <c r="M35" s="34"/>
    </row>
    <row r="37" customFormat="false" ht="15.6" hidden="false" customHeight="false" outlineLevel="0" collapsed="false">
      <c r="A37" s="21" t="s">
        <v>21</v>
      </c>
      <c r="B37" s="21"/>
      <c r="C37" s="21"/>
      <c r="D37" s="21"/>
      <c r="E37" s="21"/>
      <c r="F37" s="21"/>
      <c r="G37" s="21"/>
      <c r="H37" s="21"/>
      <c r="I37" s="21"/>
      <c r="J37" s="21"/>
    </row>
    <row r="38" customFormat="false" ht="13.2" hidden="false" customHeight="false" outlineLevel="0" collapsed="false">
      <c r="A38" s="30" t="s">
        <v>566</v>
      </c>
      <c r="B38" s="31" t="s">
        <v>567</v>
      </c>
      <c r="C38" s="31" t="s">
        <v>568</v>
      </c>
      <c r="D38" s="31" t="str">
        <f aca="false">"0,5365"</f>
        <v>0,5365</v>
      </c>
      <c r="E38" s="30" t="s">
        <v>16</v>
      </c>
      <c r="F38" s="30" t="s">
        <v>569</v>
      </c>
      <c r="G38" s="31" t="s">
        <v>411</v>
      </c>
      <c r="H38" s="31" t="s">
        <v>412</v>
      </c>
      <c r="I38" s="38" t="s">
        <v>405</v>
      </c>
      <c r="J38" s="38"/>
      <c r="K38" s="32" t="str">
        <f aca="false">"195,0"</f>
        <v>195,0</v>
      </c>
      <c r="L38" s="33" t="str">
        <f aca="false">"104,6175"</f>
        <v>104,6175</v>
      </c>
      <c r="M38" s="30"/>
    </row>
    <row r="39" customFormat="false" ht="13.2" hidden="false" customHeight="false" outlineLevel="0" collapsed="false">
      <c r="A39" s="39" t="s">
        <v>570</v>
      </c>
      <c r="B39" s="40" t="s">
        <v>571</v>
      </c>
      <c r="C39" s="40" t="s">
        <v>572</v>
      </c>
      <c r="D39" s="40" t="str">
        <f aca="false">"0,5391"</f>
        <v>0,5391</v>
      </c>
      <c r="E39" s="39" t="s">
        <v>16</v>
      </c>
      <c r="F39" s="39" t="s">
        <v>17</v>
      </c>
      <c r="G39" s="40" t="s">
        <v>237</v>
      </c>
      <c r="H39" s="40" t="s">
        <v>544</v>
      </c>
      <c r="I39" s="40" t="s">
        <v>278</v>
      </c>
      <c r="J39" s="41"/>
      <c r="K39" s="42" t="str">
        <f aca="false">"150,0"</f>
        <v>150,0</v>
      </c>
      <c r="L39" s="43" t="str">
        <f aca="false">"80,8650"</f>
        <v>80,8650</v>
      </c>
      <c r="M39" s="39"/>
    </row>
    <row r="40" customFormat="false" ht="13.2" hidden="false" customHeight="false" outlineLevel="0" collapsed="false">
      <c r="A40" s="39" t="s">
        <v>573</v>
      </c>
      <c r="B40" s="40" t="s">
        <v>574</v>
      </c>
      <c r="C40" s="40" t="s">
        <v>575</v>
      </c>
      <c r="D40" s="40" t="str">
        <f aca="false">"0,5401"</f>
        <v>0,5401</v>
      </c>
      <c r="E40" s="39" t="s">
        <v>16</v>
      </c>
      <c r="F40" s="39" t="s">
        <v>410</v>
      </c>
      <c r="G40" s="40" t="s">
        <v>427</v>
      </c>
      <c r="H40" s="40" t="s">
        <v>412</v>
      </c>
      <c r="I40" s="41" t="s">
        <v>405</v>
      </c>
      <c r="J40" s="41"/>
      <c r="K40" s="42" t="str">
        <f aca="false">"195,0"</f>
        <v>195,0</v>
      </c>
      <c r="L40" s="43" t="str">
        <f aca="false">"117,6419"</f>
        <v>117,6419</v>
      </c>
      <c r="M40" s="39" t="s">
        <v>576</v>
      </c>
    </row>
    <row r="41" customFormat="false" ht="13.2" hidden="false" customHeight="false" outlineLevel="0" collapsed="false">
      <c r="A41" s="39" t="s">
        <v>577</v>
      </c>
      <c r="B41" s="40" t="s">
        <v>578</v>
      </c>
      <c r="C41" s="40" t="s">
        <v>579</v>
      </c>
      <c r="D41" s="40" t="str">
        <f aca="false">"0,5393"</f>
        <v>0,5393</v>
      </c>
      <c r="E41" s="39" t="s">
        <v>25</v>
      </c>
      <c r="F41" s="39" t="s">
        <v>17</v>
      </c>
      <c r="G41" s="40" t="s">
        <v>403</v>
      </c>
      <c r="H41" s="41" t="s">
        <v>554</v>
      </c>
      <c r="I41" s="41"/>
      <c r="J41" s="41"/>
      <c r="K41" s="42" t="str">
        <f aca="false">"170,0"</f>
        <v>170,0</v>
      </c>
      <c r="L41" s="43" t="str">
        <f aca="false">"107,5418"</f>
        <v>107,5418</v>
      </c>
      <c r="M41" s="39"/>
    </row>
    <row r="42" customFormat="false" ht="13.2" hidden="false" customHeight="false" outlineLevel="0" collapsed="false">
      <c r="A42" s="34" t="s">
        <v>580</v>
      </c>
      <c r="B42" s="35" t="s">
        <v>463</v>
      </c>
      <c r="C42" s="35" t="s">
        <v>86</v>
      </c>
      <c r="D42" s="35" t="str">
        <f aca="false">"0,5497"</f>
        <v>0,5497</v>
      </c>
      <c r="E42" s="34" t="s">
        <v>16</v>
      </c>
      <c r="F42" s="34" t="s">
        <v>87</v>
      </c>
      <c r="G42" s="35" t="s">
        <v>267</v>
      </c>
      <c r="H42" s="44" t="s">
        <v>277</v>
      </c>
      <c r="I42" s="35" t="s">
        <v>277</v>
      </c>
      <c r="J42" s="44"/>
      <c r="K42" s="36" t="str">
        <f aca="false">"142,5"</f>
        <v>142,5</v>
      </c>
      <c r="L42" s="37" t="str">
        <f aca="false">"91,8837"</f>
        <v>91,8837</v>
      </c>
      <c r="M42" s="34"/>
    </row>
    <row r="44" customFormat="false" ht="15.6" hidden="false" customHeight="false" outlineLevel="0" collapsed="false">
      <c r="A44" s="21" t="s">
        <v>581</v>
      </c>
      <c r="B44" s="21"/>
      <c r="C44" s="21"/>
      <c r="D44" s="21"/>
      <c r="E44" s="21"/>
      <c r="F44" s="21"/>
      <c r="G44" s="21"/>
      <c r="H44" s="21"/>
      <c r="I44" s="21"/>
      <c r="J44" s="21"/>
    </row>
    <row r="45" customFormat="false" ht="13.2" hidden="false" customHeight="false" outlineLevel="0" collapsed="false">
      <c r="A45" s="16" t="s">
        <v>582</v>
      </c>
      <c r="B45" s="17" t="s">
        <v>583</v>
      </c>
      <c r="C45" s="17" t="s">
        <v>584</v>
      </c>
      <c r="D45" s="17" t="str">
        <f aca="false">"0,5216"</f>
        <v>0,5216</v>
      </c>
      <c r="E45" s="16" t="s">
        <v>16</v>
      </c>
      <c r="F45" s="16" t="s">
        <v>17</v>
      </c>
      <c r="G45" s="18" t="s">
        <v>278</v>
      </c>
      <c r="H45" s="17" t="s">
        <v>421</v>
      </c>
      <c r="I45" s="17" t="s">
        <v>269</v>
      </c>
      <c r="J45" s="18"/>
      <c r="K45" s="19" t="str">
        <f aca="false">"155,0"</f>
        <v>155,0</v>
      </c>
      <c r="L45" s="20" t="str">
        <f aca="false">"84,7287"</f>
        <v>84,7287</v>
      </c>
      <c r="M45" s="16"/>
    </row>
    <row r="47" customFormat="false" ht="15.6" hidden="false" customHeight="false" outlineLevel="0" collapsed="false">
      <c r="A47" s="21" t="s">
        <v>585</v>
      </c>
      <c r="B47" s="21"/>
      <c r="C47" s="21"/>
      <c r="D47" s="21"/>
      <c r="E47" s="21"/>
      <c r="F47" s="21"/>
      <c r="G47" s="21"/>
      <c r="H47" s="21"/>
      <c r="I47" s="21"/>
      <c r="J47" s="21"/>
    </row>
    <row r="48" customFormat="false" ht="13.2" hidden="false" customHeight="false" outlineLevel="0" collapsed="false">
      <c r="A48" s="16" t="s">
        <v>586</v>
      </c>
      <c r="B48" s="17" t="s">
        <v>587</v>
      </c>
      <c r="C48" s="17" t="s">
        <v>588</v>
      </c>
      <c r="D48" s="17" t="str">
        <f aca="false">"0,5082"</f>
        <v>0,5082</v>
      </c>
      <c r="E48" s="16" t="s">
        <v>25</v>
      </c>
      <c r="F48" s="16" t="s">
        <v>17</v>
      </c>
      <c r="G48" s="17" t="s">
        <v>554</v>
      </c>
      <c r="H48" s="17" t="s">
        <v>560</v>
      </c>
      <c r="I48" s="18" t="s">
        <v>589</v>
      </c>
      <c r="J48" s="18"/>
      <c r="K48" s="19" t="str">
        <f aca="false">"177,5"</f>
        <v>177,5</v>
      </c>
      <c r="L48" s="20" t="str">
        <f aca="false">"133,5041"</f>
        <v>133,5041</v>
      </c>
      <c r="M48" s="16"/>
    </row>
    <row r="50" customFormat="false" ht="15.6" hidden="false" customHeight="false" outlineLevel="0" collapsed="false">
      <c r="A50" s="21" t="s">
        <v>590</v>
      </c>
      <c r="B50" s="21"/>
      <c r="C50" s="21"/>
      <c r="D50" s="21"/>
      <c r="E50" s="21"/>
      <c r="F50" s="21"/>
      <c r="G50" s="21"/>
      <c r="H50" s="21"/>
      <c r="I50" s="21"/>
      <c r="J50" s="21"/>
    </row>
    <row r="51" customFormat="false" ht="13.2" hidden="false" customHeight="false" outlineLevel="0" collapsed="false">
      <c r="A51" s="30" t="s">
        <v>591</v>
      </c>
      <c r="B51" s="31" t="s">
        <v>592</v>
      </c>
      <c r="C51" s="31" t="s">
        <v>593</v>
      </c>
      <c r="D51" s="31" t="str">
        <f aca="false">"0,4979"</f>
        <v>0,4979</v>
      </c>
      <c r="E51" s="30" t="s">
        <v>16</v>
      </c>
      <c r="F51" s="30" t="s">
        <v>594</v>
      </c>
      <c r="G51" s="31" t="s">
        <v>403</v>
      </c>
      <c r="H51" s="31" t="s">
        <v>427</v>
      </c>
      <c r="I51" s="31" t="s">
        <v>411</v>
      </c>
      <c r="J51" s="38"/>
      <c r="K51" s="32" t="str">
        <f aca="false">"185,0"</f>
        <v>185,0</v>
      </c>
      <c r="L51" s="33" t="str">
        <f aca="false">"92,1115"</f>
        <v>92,1115</v>
      </c>
      <c r="M51" s="30"/>
    </row>
    <row r="52" customFormat="false" ht="13.2" hidden="false" customHeight="false" outlineLevel="0" collapsed="false">
      <c r="A52" s="34" t="s">
        <v>591</v>
      </c>
      <c r="B52" s="35" t="s">
        <v>595</v>
      </c>
      <c r="C52" s="35" t="s">
        <v>593</v>
      </c>
      <c r="D52" s="35" t="str">
        <f aca="false">"0,4979"</f>
        <v>0,4979</v>
      </c>
      <c r="E52" s="34" t="s">
        <v>16</v>
      </c>
      <c r="F52" s="34" t="s">
        <v>594</v>
      </c>
      <c r="G52" s="35" t="s">
        <v>403</v>
      </c>
      <c r="H52" s="35" t="s">
        <v>427</v>
      </c>
      <c r="I52" s="35" t="s">
        <v>411</v>
      </c>
      <c r="J52" s="44"/>
      <c r="K52" s="36" t="str">
        <f aca="false">"185,0"</f>
        <v>185,0</v>
      </c>
      <c r="L52" s="37" t="str">
        <f aca="false">"100,5858"</f>
        <v>100,5858</v>
      </c>
      <c r="M52" s="34"/>
    </row>
    <row r="54" customFormat="false" ht="15" hidden="false" customHeight="false" outlineLevel="0" collapsed="false">
      <c r="E54" s="22" t="s">
        <v>29</v>
      </c>
    </row>
    <row r="55" customFormat="false" ht="15" hidden="false" customHeight="false" outlineLevel="0" collapsed="false">
      <c r="E55" s="22" t="s">
        <v>30</v>
      </c>
    </row>
    <row r="56" customFormat="false" ht="15" hidden="false" customHeight="false" outlineLevel="0" collapsed="false">
      <c r="E56" s="22" t="s">
        <v>31</v>
      </c>
    </row>
    <row r="57" customFormat="false" ht="13.2" hidden="false" customHeight="false" outlineLevel="0" collapsed="false">
      <c r="E57" s="1" t="s">
        <v>32</v>
      </c>
    </row>
    <row r="58" customFormat="false" ht="13.2" hidden="false" customHeight="false" outlineLevel="0" collapsed="false">
      <c r="E58" s="1" t="s">
        <v>33</v>
      </c>
    </row>
    <row r="59" customFormat="false" ht="13.2" hidden="false" customHeight="false" outlineLevel="0" collapsed="false">
      <c r="E59" s="1" t="s">
        <v>34</v>
      </c>
    </row>
    <row r="62" customFormat="false" ht="17.4" hidden="false" customHeight="false" outlineLevel="0" collapsed="false">
      <c r="A62" s="23" t="s">
        <v>35</v>
      </c>
      <c r="B62" s="24"/>
    </row>
    <row r="63" customFormat="false" ht="15.6" hidden="false" customHeight="false" outlineLevel="0" collapsed="false">
      <c r="A63" s="25" t="s">
        <v>36</v>
      </c>
      <c r="B63" s="21"/>
    </row>
    <row r="64" customFormat="false" ht="14.4" hidden="false" customHeight="false" outlineLevel="0" collapsed="false">
      <c r="A64" s="26"/>
      <c r="B64" s="27" t="s">
        <v>46</v>
      </c>
    </row>
    <row r="65" customFormat="false" ht="13.8" hidden="false" customHeight="false" outlineLevel="0" collapsed="false">
      <c r="A65" s="28" t="s">
        <v>1</v>
      </c>
      <c r="B65" s="28" t="s">
        <v>38</v>
      </c>
      <c r="C65" s="28" t="s">
        <v>39</v>
      </c>
      <c r="D65" s="28" t="s">
        <v>40</v>
      </c>
      <c r="E65" s="28" t="s">
        <v>261</v>
      </c>
    </row>
    <row r="66" customFormat="false" ht="13.2" hidden="false" customHeight="false" outlineLevel="0" collapsed="false">
      <c r="A66" s="29" t="s">
        <v>596</v>
      </c>
      <c r="B66" s="2" t="s">
        <v>46</v>
      </c>
      <c r="C66" s="2" t="s">
        <v>350</v>
      </c>
      <c r="D66" s="2" t="s">
        <v>265</v>
      </c>
      <c r="E66" s="3" t="s">
        <v>597</v>
      </c>
    </row>
    <row r="67" customFormat="false" ht="13.2" hidden="false" customHeight="false" outlineLevel="0" collapsed="false">
      <c r="A67" s="29" t="s">
        <v>598</v>
      </c>
      <c r="B67" s="2" t="s">
        <v>46</v>
      </c>
      <c r="C67" s="2" t="s">
        <v>43</v>
      </c>
      <c r="D67" s="2" t="s">
        <v>266</v>
      </c>
      <c r="E67" s="3" t="s">
        <v>599</v>
      </c>
    </row>
    <row r="68" customFormat="false" ht="13.2" hidden="false" customHeight="false" outlineLevel="0" collapsed="false">
      <c r="A68" s="29" t="s">
        <v>600</v>
      </c>
      <c r="B68" s="2" t="s">
        <v>46</v>
      </c>
      <c r="C68" s="2" t="s">
        <v>345</v>
      </c>
      <c r="D68" s="2" t="s">
        <v>138</v>
      </c>
      <c r="E68" s="3" t="s">
        <v>601</v>
      </c>
    </row>
    <row r="70" customFormat="false" ht="14.4" hidden="false" customHeight="false" outlineLevel="0" collapsed="false">
      <c r="A70" s="26"/>
      <c r="B70" s="27" t="s">
        <v>37</v>
      </c>
    </row>
    <row r="71" customFormat="false" ht="13.8" hidden="false" customHeight="false" outlineLevel="0" collapsed="false">
      <c r="A71" s="28" t="s">
        <v>1</v>
      </c>
      <c r="B71" s="28" t="s">
        <v>38</v>
      </c>
      <c r="C71" s="28" t="s">
        <v>39</v>
      </c>
      <c r="D71" s="28" t="s">
        <v>40</v>
      </c>
      <c r="E71" s="28" t="s">
        <v>261</v>
      </c>
    </row>
    <row r="72" customFormat="false" ht="13.2" hidden="false" customHeight="false" outlineLevel="0" collapsed="false">
      <c r="A72" s="29" t="s">
        <v>41</v>
      </c>
      <c r="B72" s="2" t="s">
        <v>42</v>
      </c>
      <c r="C72" s="2" t="s">
        <v>43</v>
      </c>
      <c r="D72" s="2" t="s">
        <v>82</v>
      </c>
      <c r="E72" s="3" t="s">
        <v>602</v>
      </c>
    </row>
    <row r="75" customFormat="false" ht="15.6" hidden="false" customHeight="false" outlineLevel="0" collapsed="false">
      <c r="A75" s="25" t="s">
        <v>45</v>
      </c>
      <c r="B75" s="21"/>
    </row>
    <row r="76" customFormat="false" ht="14.4" hidden="false" customHeight="false" outlineLevel="0" collapsed="false">
      <c r="A76" s="26"/>
      <c r="B76" s="27" t="s">
        <v>46</v>
      </c>
    </row>
    <row r="77" customFormat="false" ht="13.8" hidden="false" customHeight="false" outlineLevel="0" collapsed="false">
      <c r="A77" s="28" t="s">
        <v>1</v>
      </c>
      <c r="B77" s="28" t="s">
        <v>38</v>
      </c>
      <c r="C77" s="28" t="s">
        <v>39</v>
      </c>
      <c r="D77" s="28" t="s">
        <v>40</v>
      </c>
      <c r="E77" s="28" t="s">
        <v>261</v>
      </c>
    </row>
    <row r="78" customFormat="false" ht="13.2" hidden="false" customHeight="false" outlineLevel="0" collapsed="false">
      <c r="A78" s="29" t="s">
        <v>355</v>
      </c>
      <c r="B78" s="2" t="s">
        <v>46</v>
      </c>
      <c r="C78" s="2" t="s">
        <v>102</v>
      </c>
      <c r="D78" s="2" t="s">
        <v>404</v>
      </c>
      <c r="E78" s="3" t="s">
        <v>603</v>
      </c>
    </row>
    <row r="79" customFormat="false" ht="13.2" hidden="false" customHeight="false" outlineLevel="0" collapsed="false">
      <c r="A79" s="29" t="s">
        <v>604</v>
      </c>
      <c r="B79" s="2" t="s">
        <v>46</v>
      </c>
      <c r="C79" s="2" t="s">
        <v>48</v>
      </c>
      <c r="D79" s="2" t="s">
        <v>412</v>
      </c>
      <c r="E79" s="3" t="s">
        <v>605</v>
      </c>
    </row>
    <row r="80" customFormat="false" ht="13.2" hidden="false" customHeight="false" outlineLevel="0" collapsed="false">
      <c r="A80" s="29" t="s">
        <v>606</v>
      </c>
      <c r="B80" s="2" t="s">
        <v>46</v>
      </c>
      <c r="C80" s="2" t="s">
        <v>191</v>
      </c>
      <c r="D80" s="2" t="s">
        <v>433</v>
      </c>
      <c r="E80" s="3" t="s">
        <v>607</v>
      </c>
    </row>
    <row r="81" customFormat="false" ht="13.2" hidden="false" customHeight="false" outlineLevel="0" collapsed="false">
      <c r="A81" s="29" t="s">
        <v>608</v>
      </c>
      <c r="B81" s="2" t="s">
        <v>46</v>
      </c>
      <c r="C81" s="2" t="s">
        <v>357</v>
      </c>
      <c r="D81" s="2" t="s">
        <v>544</v>
      </c>
      <c r="E81" s="3" t="s">
        <v>609</v>
      </c>
    </row>
    <row r="82" customFormat="false" ht="13.2" hidden="false" customHeight="false" outlineLevel="0" collapsed="false">
      <c r="A82" s="29" t="s">
        <v>610</v>
      </c>
      <c r="B82" s="2" t="s">
        <v>46</v>
      </c>
      <c r="C82" s="2" t="s">
        <v>611</v>
      </c>
      <c r="D82" s="2" t="s">
        <v>411</v>
      </c>
      <c r="E82" s="3" t="s">
        <v>612</v>
      </c>
    </row>
    <row r="83" customFormat="false" ht="13.2" hidden="false" customHeight="false" outlineLevel="0" collapsed="false">
      <c r="A83" s="29" t="s">
        <v>613</v>
      </c>
      <c r="B83" s="2" t="s">
        <v>46</v>
      </c>
      <c r="C83" s="2" t="s">
        <v>48</v>
      </c>
      <c r="D83" s="2" t="s">
        <v>278</v>
      </c>
      <c r="E83" s="3" t="s">
        <v>614</v>
      </c>
    </row>
    <row r="84" customFormat="false" ht="13.2" hidden="false" customHeight="false" outlineLevel="0" collapsed="false">
      <c r="A84" s="29" t="s">
        <v>615</v>
      </c>
      <c r="B84" s="2" t="s">
        <v>46</v>
      </c>
      <c r="C84" s="2" t="s">
        <v>345</v>
      </c>
      <c r="D84" s="2" t="s">
        <v>532</v>
      </c>
      <c r="E84" s="3" t="s">
        <v>616</v>
      </c>
    </row>
    <row r="85" customFormat="false" ht="13.2" hidden="false" customHeight="false" outlineLevel="0" collapsed="false">
      <c r="A85" s="29" t="s">
        <v>617</v>
      </c>
      <c r="B85" s="2" t="s">
        <v>46</v>
      </c>
      <c r="C85" s="2" t="s">
        <v>43</v>
      </c>
      <c r="D85" s="2" t="s">
        <v>540</v>
      </c>
      <c r="E85" s="3" t="s">
        <v>618</v>
      </c>
    </row>
    <row r="87" customFormat="false" ht="14.4" hidden="false" customHeight="false" outlineLevel="0" collapsed="false">
      <c r="A87" s="26"/>
      <c r="B87" s="27" t="s">
        <v>37</v>
      </c>
    </row>
    <row r="88" customFormat="false" ht="13.8" hidden="false" customHeight="false" outlineLevel="0" collapsed="false">
      <c r="A88" s="28" t="s">
        <v>1</v>
      </c>
      <c r="B88" s="28" t="s">
        <v>38</v>
      </c>
      <c r="C88" s="28" t="s">
        <v>39</v>
      </c>
      <c r="D88" s="28" t="s">
        <v>40</v>
      </c>
      <c r="E88" s="28" t="s">
        <v>261</v>
      </c>
    </row>
    <row r="89" customFormat="false" ht="13.2" hidden="false" customHeight="false" outlineLevel="0" collapsed="false">
      <c r="A89" s="29" t="s">
        <v>619</v>
      </c>
      <c r="B89" s="2" t="s">
        <v>288</v>
      </c>
      <c r="C89" s="2" t="s">
        <v>620</v>
      </c>
      <c r="D89" s="2" t="s">
        <v>560</v>
      </c>
      <c r="E89" s="3" t="s">
        <v>621</v>
      </c>
    </row>
    <row r="90" customFormat="false" ht="13.2" hidden="false" customHeight="false" outlineLevel="0" collapsed="false">
      <c r="A90" s="29" t="s">
        <v>622</v>
      </c>
      <c r="B90" s="2" t="s">
        <v>475</v>
      </c>
      <c r="C90" s="2" t="s">
        <v>48</v>
      </c>
      <c r="D90" s="2" t="s">
        <v>412</v>
      </c>
      <c r="E90" s="3" t="s">
        <v>623</v>
      </c>
    </row>
    <row r="91" customFormat="false" ht="13.2" hidden="false" customHeight="false" outlineLevel="0" collapsed="false">
      <c r="A91" s="29" t="s">
        <v>287</v>
      </c>
      <c r="B91" s="2" t="s">
        <v>288</v>
      </c>
      <c r="C91" s="2" t="s">
        <v>191</v>
      </c>
      <c r="D91" s="2" t="s">
        <v>237</v>
      </c>
      <c r="E91" s="3" t="s">
        <v>624</v>
      </c>
    </row>
    <row r="92" customFormat="false" ht="13.2" hidden="false" customHeight="false" outlineLevel="0" collapsed="false">
      <c r="A92" s="29" t="s">
        <v>625</v>
      </c>
      <c r="B92" s="2" t="s">
        <v>42</v>
      </c>
      <c r="C92" s="2" t="s">
        <v>48</v>
      </c>
      <c r="D92" s="2" t="s">
        <v>403</v>
      </c>
      <c r="E92" s="3" t="s">
        <v>626</v>
      </c>
    </row>
    <row r="93" customFormat="false" ht="13.2" hidden="false" customHeight="false" outlineLevel="0" collapsed="false">
      <c r="A93" s="29" t="s">
        <v>627</v>
      </c>
      <c r="B93" s="2" t="s">
        <v>475</v>
      </c>
      <c r="C93" s="2" t="s">
        <v>102</v>
      </c>
      <c r="D93" s="2" t="s">
        <v>433</v>
      </c>
      <c r="E93" s="3" t="s">
        <v>628</v>
      </c>
    </row>
    <row r="94" customFormat="false" ht="13.2" hidden="false" customHeight="false" outlineLevel="0" collapsed="false">
      <c r="A94" s="29" t="s">
        <v>610</v>
      </c>
      <c r="B94" s="2" t="s">
        <v>475</v>
      </c>
      <c r="C94" s="2" t="s">
        <v>611</v>
      </c>
      <c r="D94" s="2" t="s">
        <v>411</v>
      </c>
      <c r="E94" s="3" t="s">
        <v>629</v>
      </c>
    </row>
    <row r="95" customFormat="false" ht="13.2" hidden="false" customHeight="false" outlineLevel="0" collapsed="false">
      <c r="A95" s="29" t="s">
        <v>608</v>
      </c>
      <c r="B95" s="2" t="s">
        <v>352</v>
      </c>
      <c r="C95" s="2" t="s">
        <v>357</v>
      </c>
      <c r="D95" s="2" t="s">
        <v>544</v>
      </c>
      <c r="E95" s="3" t="s">
        <v>609</v>
      </c>
    </row>
    <row r="96" customFormat="false" ht="13.2" hidden="false" customHeight="false" outlineLevel="0" collapsed="false">
      <c r="A96" s="29" t="s">
        <v>93</v>
      </c>
      <c r="B96" s="2" t="s">
        <v>42</v>
      </c>
      <c r="C96" s="2" t="s">
        <v>48</v>
      </c>
      <c r="D96" s="2" t="s">
        <v>277</v>
      </c>
      <c r="E96" s="3" t="s">
        <v>630</v>
      </c>
    </row>
    <row r="97" customFormat="false" ht="13.2" hidden="false" customHeight="false" outlineLevel="0" collapsed="false">
      <c r="A97" s="29" t="s">
        <v>631</v>
      </c>
      <c r="B97" s="2" t="s">
        <v>475</v>
      </c>
      <c r="C97" s="2" t="s">
        <v>191</v>
      </c>
      <c r="D97" s="2" t="s">
        <v>565</v>
      </c>
      <c r="E97" s="3" t="s">
        <v>632</v>
      </c>
    </row>
    <row r="98" customFormat="false" ht="13.2" hidden="false" customHeight="false" outlineLevel="0" collapsed="false">
      <c r="A98" s="29" t="s">
        <v>633</v>
      </c>
      <c r="B98" s="2" t="s">
        <v>475</v>
      </c>
      <c r="C98" s="2" t="s">
        <v>634</v>
      </c>
      <c r="D98" s="2" t="s">
        <v>269</v>
      </c>
      <c r="E98" s="3" t="s">
        <v>635</v>
      </c>
    </row>
    <row r="99" customFormat="false" ht="13.2" hidden="false" customHeight="false" outlineLevel="0" collapsed="false">
      <c r="A99" s="29" t="s">
        <v>100</v>
      </c>
      <c r="B99" s="2" t="s">
        <v>42</v>
      </c>
      <c r="C99" s="2" t="s">
        <v>102</v>
      </c>
      <c r="D99" s="2" t="s">
        <v>183</v>
      </c>
      <c r="E99" s="3" t="s">
        <v>636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  <mergeCell ref="A11:J11"/>
    <mergeCell ref="A15:J15"/>
    <mergeCell ref="A19:J19"/>
    <mergeCell ref="A22:J22"/>
    <mergeCell ref="A26:J26"/>
    <mergeCell ref="A32:J32"/>
    <mergeCell ref="A37:J37"/>
    <mergeCell ref="A44:J44"/>
    <mergeCell ref="A47:J47"/>
    <mergeCell ref="A50:J5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890625" defaultRowHeight="13.2" zeroHeight="false" outlineLevelRow="0" outlineLevelCol="0"/>
  <cols>
    <col collapsed="false" customWidth="true" hidden="false" outlineLevel="0" max="1" min="1" style="1" width="24.87"/>
    <col collapsed="false" customWidth="true" hidden="false" outlineLevel="0" max="2" min="2" style="2" width="30.43"/>
    <col collapsed="false" customWidth="true" hidden="false" outlineLevel="0" max="3" min="3" style="2" width="7.56"/>
    <col collapsed="false" customWidth="true" hidden="false" outlineLevel="0" max="4" min="4" style="2" width="8.79"/>
    <col collapsed="false" customWidth="true" hidden="false" outlineLevel="0" max="5" min="5" style="1" width="17"/>
    <col collapsed="false" customWidth="true" hidden="false" outlineLevel="0" max="6" min="6" style="1" width="30.1"/>
    <col collapsed="false" customWidth="true" hidden="false" outlineLevel="0" max="9" min="7" style="2" width="5.55"/>
    <col collapsed="false" customWidth="true" hidden="false" outlineLevel="0" max="10" min="10" style="2" width="4.78"/>
    <col collapsed="false" customWidth="true" hidden="false" outlineLevel="0" max="11" min="11" style="3" width="5.78"/>
    <col collapsed="false" customWidth="true" hidden="false" outlineLevel="0" max="12" min="12" style="4" width="8.56"/>
    <col collapsed="false" customWidth="true" hidden="false" outlineLevel="0" max="13" min="13" style="1" width="7.11"/>
    <col collapsed="false" customWidth="false" hidden="false" outlineLevel="0" max="1024" min="14" style="5" width="9.12"/>
  </cols>
  <sheetData>
    <row r="1" s="7" customFormat="true" ht="28.95" hidden="false" customHeight="true" outlineLevel="0" collapsed="false">
      <c r="A1" s="6" t="s">
        <v>637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261</v>
      </c>
      <c r="E3" s="10" t="s">
        <v>5</v>
      </c>
      <c r="F3" s="10" t="s">
        <v>6</v>
      </c>
      <c r="G3" s="11" t="s">
        <v>262</v>
      </c>
      <c r="H3" s="11"/>
      <c r="I3" s="11"/>
      <c r="J3" s="11"/>
      <c r="K3" s="10" t="s">
        <v>8</v>
      </c>
      <c r="L3" s="10" t="s">
        <v>9</v>
      </c>
      <c r="M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0"/>
      <c r="L4" s="10"/>
      <c r="M4" s="12"/>
    </row>
    <row r="5" s="2" customFormat="true" ht="15.6" hidden="false" customHeight="false" outlineLevel="0" collapsed="false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4"/>
      <c r="M5" s="1"/>
    </row>
    <row r="6" s="2" customFormat="true" ht="13.2" hidden="false" customHeight="false" outlineLevel="0" collapsed="false">
      <c r="A6" s="30" t="s">
        <v>313</v>
      </c>
      <c r="B6" s="31" t="s">
        <v>314</v>
      </c>
      <c r="C6" s="31" t="s">
        <v>315</v>
      </c>
      <c r="D6" s="31" t="str">
        <f aca="false">"0,7336"</f>
        <v>0,7336</v>
      </c>
      <c r="E6" s="30" t="s">
        <v>16</v>
      </c>
      <c r="F6" s="30" t="s">
        <v>59</v>
      </c>
      <c r="G6" s="31" t="s">
        <v>405</v>
      </c>
      <c r="H6" s="31" t="s">
        <v>274</v>
      </c>
      <c r="I6" s="38" t="s">
        <v>458</v>
      </c>
      <c r="J6" s="38"/>
      <c r="K6" s="32" t="str">
        <f aca="false">"210,0"</f>
        <v>210,0</v>
      </c>
      <c r="L6" s="33" t="str">
        <f aca="false">"154,0560"</f>
        <v>154,0560</v>
      </c>
      <c r="M6" s="30"/>
    </row>
    <row r="7" s="2" customFormat="true" ht="13.2" hidden="false" customHeight="false" outlineLevel="0" collapsed="false">
      <c r="A7" s="34" t="s">
        <v>313</v>
      </c>
      <c r="B7" s="35" t="s">
        <v>318</v>
      </c>
      <c r="C7" s="35" t="s">
        <v>315</v>
      </c>
      <c r="D7" s="35" t="str">
        <f aca="false">"0,7336"</f>
        <v>0,7336</v>
      </c>
      <c r="E7" s="34" t="s">
        <v>16</v>
      </c>
      <c r="F7" s="34" t="s">
        <v>59</v>
      </c>
      <c r="G7" s="35" t="s">
        <v>405</v>
      </c>
      <c r="H7" s="35" t="s">
        <v>274</v>
      </c>
      <c r="I7" s="44" t="s">
        <v>458</v>
      </c>
      <c r="J7" s="44"/>
      <c r="K7" s="36" t="str">
        <f aca="false">"210,0"</f>
        <v>210,0</v>
      </c>
      <c r="L7" s="37" t="str">
        <f aca="false">"154,0560"</f>
        <v>154,0560</v>
      </c>
      <c r="M7" s="34"/>
    </row>
    <row r="9" customFormat="false" ht="15.6" hidden="false" customHeight="false" outlineLevel="0" collapsed="false">
      <c r="A9" s="21" t="s">
        <v>179</v>
      </c>
      <c r="B9" s="21"/>
      <c r="C9" s="21"/>
      <c r="D9" s="21"/>
      <c r="E9" s="21"/>
      <c r="F9" s="21"/>
      <c r="G9" s="21"/>
      <c r="H9" s="21"/>
      <c r="I9" s="21"/>
      <c r="J9" s="21"/>
    </row>
    <row r="10" customFormat="false" ht="13.2" hidden="false" customHeight="false" outlineLevel="0" collapsed="false">
      <c r="A10" s="16" t="s">
        <v>341</v>
      </c>
      <c r="B10" s="17" t="s">
        <v>342</v>
      </c>
      <c r="C10" s="17" t="s">
        <v>343</v>
      </c>
      <c r="D10" s="17" t="str">
        <f aca="false">"0,5697"</f>
        <v>0,5697</v>
      </c>
      <c r="E10" s="16" t="s">
        <v>16</v>
      </c>
      <c r="F10" s="16" t="s">
        <v>344</v>
      </c>
      <c r="G10" s="17" t="s">
        <v>406</v>
      </c>
      <c r="H10" s="17" t="s">
        <v>458</v>
      </c>
      <c r="I10" s="17" t="s">
        <v>27</v>
      </c>
      <c r="J10" s="18"/>
      <c r="K10" s="19" t="str">
        <f aca="false">"225,0"</f>
        <v>225,0</v>
      </c>
      <c r="L10" s="20" t="str">
        <f aca="false">"128,1825"</f>
        <v>128,1825</v>
      </c>
      <c r="M10" s="16"/>
    </row>
    <row r="12" customFormat="false" ht="15" hidden="false" customHeight="false" outlineLevel="0" collapsed="false">
      <c r="E12" s="22" t="s">
        <v>29</v>
      </c>
    </row>
    <row r="13" customFormat="false" ht="15" hidden="false" customHeight="false" outlineLevel="0" collapsed="false">
      <c r="E13" s="22" t="s">
        <v>30</v>
      </c>
    </row>
    <row r="14" customFormat="false" ht="15" hidden="false" customHeight="false" outlineLevel="0" collapsed="false">
      <c r="E14" s="22" t="s">
        <v>31</v>
      </c>
    </row>
    <row r="15" customFormat="false" ht="13.2" hidden="false" customHeight="false" outlineLevel="0" collapsed="false">
      <c r="E15" s="1" t="s">
        <v>32</v>
      </c>
    </row>
    <row r="16" customFormat="false" ht="13.2" hidden="false" customHeight="false" outlineLevel="0" collapsed="false">
      <c r="E16" s="1" t="s">
        <v>33</v>
      </c>
    </row>
    <row r="17" customFormat="false" ht="13.2" hidden="false" customHeight="false" outlineLevel="0" collapsed="false">
      <c r="E17" s="1" t="s">
        <v>34</v>
      </c>
    </row>
    <row r="20" customFormat="false" ht="17.4" hidden="false" customHeight="false" outlineLevel="0" collapsed="false">
      <c r="A20" s="23" t="s">
        <v>35</v>
      </c>
      <c r="B20" s="24"/>
    </row>
    <row r="21" customFormat="false" ht="15.6" hidden="false" customHeight="false" outlineLevel="0" collapsed="false">
      <c r="A21" s="25" t="s">
        <v>36</v>
      </c>
      <c r="B21" s="21"/>
    </row>
    <row r="22" customFormat="false" ht="14.4" hidden="false" customHeight="false" outlineLevel="0" collapsed="false">
      <c r="A22" s="26"/>
      <c r="B22" s="27" t="s">
        <v>46</v>
      </c>
    </row>
    <row r="23" customFormat="false" ht="13.8" hidden="false" customHeight="false" outlineLevel="0" collapsed="false">
      <c r="A23" s="28" t="s">
        <v>1</v>
      </c>
      <c r="B23" s="28" t="s">
        <v>38</v>
      </c>
      <c r="C23" s="28" t="s">
        <v>39</v>
      </c>
      <c r="D23" s="28" t="s">
        <v>40</v>
      </c>
      <c r="E23" s="28" t="s">
        <v>261</v>
      </c>
    </row>
    <row r="24" customFormat="false" ht="13.2" hidden="false" customHeight="false" outlineLevel="0" collapsed="false">
      <c r="A24" s="29" t="s">
        <v>347</v>
      </c>
      <c r="B24" s="2" t="s">
        <v>46</v>
      </c>
      <c r="C24" s="2" t="s">
        <v>43</v>
      </c>
      <c r="D24" s="2" t="s">
        <v>274</v>
      </c>
      <c r="E24" s="3" t="s">
        <v>638</v>
      </c>
    </row>
    <row r="26" customFormat="false" ht="14.4" hidden="false" customHeight="false" outlineLevel="0" collapsed="false">
      <c r="A26" s="26"/>
      <c r="B26" s="27" t="s">
        <v>37</v>
      </c>
    </row>
    <row r="27" customFormat="false" ht="13.8" hidden="false" customHeight="false" outlineLevel="0" collapsed="false">
      <c r="A27" s="28" t="s">
        <v>1</v>
      </c>
      <c r="B27" s="28" t="s">
        <v>38</v>
      </c>
      <c r="C27" s="28" t="s">
        <v>39</v>
      </c>
      <c r="D27" s="28" t="s">
        <v>40</v>
      </c>
      <c r="E27" s="28" t="s">
        <v>261</v>
      </c>
    </row>
    <row r="28" customFormat="false" ht="13.2" hidden="false" customHeight="false" outlineLevel="0" collapsed="false">
      <c r="A28" s="29" t="s">
        <v>347</v>
      </c>
      <c r="B28" s="2" t="s">
        <v>352</v>
      </c>
      <c r="C28" s="2" t="s">
        <v>43</v>
      </c>
      <c r="D28" s="2" t="s">
        <v>274</v>
      </c>
      <c r="E28" s="3" t="s">
        <v>638</v>
      </c>
    </row>
    <row r="31" customFormat="false" ht="15.6" hidden="false" customHeight="false" outlineLevel="0" collapsed="false">
      <c r="A31" s="25" t="s">
        <v>45</v>
      </c>
      <c r="B31" s="21"/>
    </row>
    <row r="32" customFormat="false" ht="14.4" hidden="false" customHeight="false" outlineLevel="0" collapsed="false">
      <c r="A32" s="26"/>
      <c r="B32" s="27" t="s">
        <v>364</v>
      </c>
    </row>
    <row r="33" customFormat="false" ht="13.8" hidden="false" customHeight="false" outlineLevel="0" collapsed="false">
      <c r="A33" s="28" t="s">
        <v>1</v>
      </c>
      <c r="B33" s="28" t="s">
        <v>38</v>
      </c>
      <c r="C33" s="28" t="s">
        <v>39</v>
      </c>
      <c r="D33" s="28" t="s">
        <v>40</v>
      </c>
      <c r="E33" s="28" t="s">
        <v>261</v>
      </c>
    </row>
    <row r="34" customFormat="false" ht="13.2" hidden="false" customHeight="false" outlineLevel="0" collapsed="false">
      <c r="A34" s="29" t="s">
        <v>365</v>
      </c>
      <c r="B34" s="2" t="s">
        <v>366</v>
      </c>
      <c r="C34" s="2" t="s">
        <v>191</v>
      </c>
      <c r="D34" s="2" t="s">
        <v>27</v>
      </c>
      <c r="E34" s="3" t="s">
        <v>639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9:J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890625" defaultRowHeight="13.2" zeroHeight="false" outlineLevelRow="0" outlineLevelCol="0"/>
  <cols>
    <col collapsed="false" customWidth="true" hidden="false" outlineLevel="0" max="1" min="1" style="1" width="24.87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8.79"/>
    <col collapsed="false" customWidth="true" hidden="false" outlineLevel="0" max="5" min="5" style="1" width="17"/>
    <col collapsed="false" customWidth="true" hidden="false" outlineLevel="0" max="6" min="6" style="1" width="28.33"/>
    <col collapsed="false" customWidth="true" hidden="false" outlineLevel="0" max="9" min="7" style="2" width="5.55"/>
    <col collapsed="false" customWidth="true" hidden="false" outlineLevel="0" max="10" min="10" style="2" width="4.78"/>
    <col collapsed="false" customWidth="true" hidden="false" outlineLevel="0" max="11" min="11" style="3" width="5.78"/>
    <col collapsed="false" customWidth="true" hidden="false" outlineLevel="0" max="12" min="12" style="4" width="8.56"/>
    <col collapsed="false" customWidth="true" hidden="false" outlineLevel="0" max="13" min="13" style="1" width="7.11"/>
    <col collapsed="false" customWidth="false" hidden="false" outlineLevel="0" max="1024" min="14" style="5" width="9.12"/>
  </cols>
  <sheetData>
    <row r="1" s="7" customFormat="true" ht="28.95" hidden="false" customHeight="true" outlineLevel="0" collapsed="false">
      <c r="A1" s="6" t="s">
        <v>640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261</v>
      </c>
      <c r="E3" s="10" t="s">
        <v>5</v>
      </c>
      <c r="F3" s="10" t="s">
        <v>6</v>
      </c>
      <c r="G3" s="11" t="s">
        <v>262</v>
      </c>
      <c r="H3" s="11"/>
      <c r="I3" s="11"/>
      <c r="J3" s="11"/>
      <c r="K3" s="10" t="s">
        <v>8</v>
      </c>
      <c r="L3" s="10" t="s">
        <v>9</v>
      </c>
      <c r="M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0"/>
      <c r="L4" s="10"/>
      <c r="M4" s="12"/>
    </row>
    <row r="5" s="2" customFormat="true" ht="15.6" hidden="false" customHeight="false" outlineLevel="0" collapsed="false">
      <c r="A5" s="15" t="s">
        <v>303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4"/>
      <c r="M5" s="1"/>
    </row>
    <row r="6" s="2" customFormat="true" ht="13.2" hidden="false" customHeight="false" outlineLevel="0" collapsed="false">
      <c r="A6" s="16" t="s">
        <v>641</v>
      </c>
      <c r="B6" s="17" t="s">
        <v>642</v>
      </c>
      <c r="C6" s="17" t="s">
        <v>643</v>
      </c>
      <c r="D6" s="17" t="str">
        <f aca="false">"0,9263"</f>
        <v>0,9263</v>
      </c>
      <c r="E6" s="16" t="s">
        <v>16</v>
      </c>
      <c r="F6" s="16" t="s">
        <v>17</v>
      </c>
      <c r="G6" s="17" t="s">
        <v>18</v>
      </c>
      <c r="H6" s="17" t="s">
        <v>19</v>
      </c>
      <c r="I6" s="17" t="s">
        <v>230</v>
      </c>
      <c r="J6" s="18"/>
      <c r="K6" s="19" t="str">
        <f aca="false">"115,0"</f>
        <v>115,0</v>
      </c>
      <c r="L6" s="20" t="str">
        <f aca="false">"106,5245"</f>
        <v>106,5245</v>
      </c>
      <c r="M6" s="16"/>
    </row>
    <row r="7" s="2" customFormat="true" ht="13.2" hidden="false" customHeight="false" outlineLevel="0" collapsed="false">
      <c r="A7" s="1"/>
      <c r="E7" s="1"/>
      <c r="F7" s="1"/>
      <c r="K7" s="3"/>
      <c r="L7" s="4"/>
      <c r="M7" s="1"/>
    </row>
    <row r="8" customFormat="false" ht="15.6" hidden="false" customHeight="false" outlineLevel="0" collapsed="false">
      <c r="A8" s="21" t="s">
        <v>303</v>
      </c>
      <c r="B8" s="21"/>
      <c r="C8" s="21"/>
      <c r="D8" s="21"/>
      <c r="E8" s="21"/>
      <c r="F8" s="21"/>
      <c r="G8" s="21"/>
      <c r="H8" s="21"/>
      <c r="I8" s="21"/>
      <c r="J8" s="21"/>
    </row>
    <row r="9" customFormat="false" ht="13.2" hidden="false" customHeight="false" outlineLevel="0" collapsed="false">
      <c r="A9" s="16" t="s">
        <v>644</v>
      </c>
      <c r="B9" s="17" t="s">
        <v>645</v>
      </c>
      <c r="C9" s="17" t="s">
        <v>646</v>
      </c>
      <c r="D9" s="17" t="str">
        <f aca="false">"0,8817"</f>
        <v>0,8817</v>
      </c>
      <c r="E9" s="16" t="s">
        <v>16</v>
      </c>
      <c r="F9" s="16" t="s">
        <v>17</v>
      </c>
      <c r="G9" s="18" t="s">
        <v>230</v>
      </c>
      <c r="H9" s="17" t="s">
        <v>231</v>
      </c>
      <c r="I9" s="17" t="s">
        <v>236</v>
      </c>
      <c r="J9" s="18"/>
      <c r="K9" s="19" t="str">
        <f aca="false">"130,0"</f>
        <v>130,0</v>
      </c>
      <c r="L9" s="20" t="str">
        <f aca="false">"114,6210"</f>
        <v>114,6210</v>
      </c>
      <c r="M9" s="16"/>
    </row>
    <row r="11" customFormat="false" ht="15.6" hidden="false" customHeight="false" outlineLevel="0" collapsed="false">
      <c r="A11" s="21" t="s">
        <v>12</v>
      </c>
      <c r="B11" s="21"/>
      <c r="C11" s="21"/>
      <c r="D11" s="21"/>
      <c r="E11" s="21"/>
      <c r="F11" s="21"/>
      <c r="G11" s="21"/>
      <c r="H11" s="21"/>
      <c r="I11" s="21"/>
      <c r="J11" s="21"/>
    </row>
    <row r="12" customFormat="false" ht="13.2" hidden="false" customHeight="false" outlineLevel="0" collapsed="false">
      <c r="A12" s="16" t="s">
        <v>72</v>
      </c>
      <c r="B12" s="17" t="s">
        <v>328</v>
      </c>
      <c r="C12" s="17" t="s">
        <v>74</v>
      </c>
      <c r="D12" s="17" t="str">
        <f aca="false">"0,6708"</f>
        <v>0,6708</v>
      </c>
      <c r="E12" s="16" t="s">
        <v>16</v>
      </c>
      <c r="F12" s="16" t="s">
        <v>75</v>
      </c>
      <c r="G12" s="17" t="s">
        <v>20</v>
      </c>
      <c r="H12" s="17" t="s">
        <v>237</v>
      </c>
      <c r="I12" s="18"/>
      <c r="J12" s="18"/>
      <c r="K12" s="19" t="str">
        <f aca="false">"140,0"</f>
        <v>140,0</v>
      </c>
      <c r="L12" s="20" t="str">
        <f aca="false">"169,9807"</f>
        <v>169,9807</v>
      </c>
      <c r="M12" s="16"/>
    </row>
    <row r="14" customFormat="false" ht="15.6" hidden="false" customHeight="false" outlineLevel="0" collapsed="false">
      <c r="A14" s="21" t="s">
        <v>330</v>
      </c>
      <c r="B14" s="21"/>
      <c r="C14" s="21"/>
      <c r="D14" s="21"/>
      <c r="E14" s="21"/>
      <c r="F14" s="21"/>
      <c r="G14" s="21"/>
      <c r="H14" s="21"/>
      <c r="I14" s="21"/>
      <c r="J14" s="21"/>
    </row>
    <row r="15" customFormat="false" ht="13.2" hidden="false" customHeight="false" outlineLevel="0" collapsed="false">
      <c r="A15" s="16" t="s">
        <v>647</v>
      </c>
      <c r="B15" s="17" t="s">
        <v>648</v>
      </c>
      <c r="C15" s="17" t="s">
        <v>649</v>
      </c>
      <c r="D15" s="17" t="str">
        <f aca="false">"0,6550"</f>
        <v>0,6550</v>
      </c>
      <c r="E15" s="16" t="s">
        <v>16</v>
      </c>
      <c r="F15" s="16" t="s">
        <v>650</v>
      </c>
      <c r="G15" s="17" t="s">
        <v>406</v>
      </c>
      <c r="H15" s="17" t="s">
        <v>458</v>
      </c>
      <c r="I15" s="17" t="s">
        <v>651</v>
      </c>
      <c r="J15" s="18"/>
      <c r="K15" s="19" t="str">
        <f aca="false">"222,5"</f>
        <v>222,5</v>
      </c>
      <c r="L15" s="20" t="str">
        <f aca="false">"263,7849"</f>
        <v>263,7849</v>
      </c>
      <c r="M15" s="16"/>
    </row>
    <row r="17" customFormat="false" ht="15.6" hidden="false" customHeight="false" outlineLevel="0" collapsed="false">
      <c r="A17" s="21" t="s">
        <v>78</v>
      </c>
      <c r="B17" s="21"/>
      <c r="C17" s="21"/>
      <c r="D17" s="21"/>
      <c r="E17" s="21"/>
      <c r="F17" s="21"/>
      <c r="G17" s="21"/>
      <c r="H17" s="21"/>
      <c r="I17" s="21"/>
      <c r="J17" s="21"/>
    </row>
    <row r="18" customFormat="false" ht="13.2" hidden="false" customHeight="false" outlineLevel="0" collapsed="false">
      <c r="A18" s="30" t="s">
        <v>652</v>
      </c>
      <c r="B18" s="31" t="s">
        <v>653</v>
      </c>
      <c r="C18" s="31" t="s">
        <v>654</v>
      </c>
      <c r="D18" s="31" t="str">
        <f aca="false">"0,5952"</f>
        <v>0,5952</v>
      </c>
      <c r="E18" s="30" t="s">
        <v>16</v>
      </c>
      <c r="F18" s="30" t="s">
        <v>17</v>
      </c>
      <c r="G18" s="31" t="s">
        <v>427</v>
      </c>
      <c r="H18" s="31" t="s">
        <v>405</v>
      </c>
      <c r="I18" s="31" t="s">
        <v>458</v>
      </c>
      <c r="J18" s="38"/>
      <c r="K18" s="32" t="str">
        <f aca="false">"215,0"</f>
        <v>215,0</v>
      </c>
      <c r="L18" s="33" t="str">
        <f aca="false">"127,9680"</f>
        <v>127,9680</v>
      </c>
      <c r="M18" s="30"/>
    </row>
    <row r="19" customFormat="false" ht="13.2" hidden="false" customHeight="false" outlineLevel="0" collapsed="false">
      <c r="A19" s="34" t="s">
        <v>655</v>
      </c>
      <c r="B19" s="35" t="s">
        <v>656</v>
      </c>
      <c r="C19" s="35" t="s">
        <v>657</v>
      </c>
      <c r="D19" s="35" t="str">
        <f aca="false">"0,6132"</f>
        <v>0,6132</v>
      </c>
      <c r="E19" s="34" t="s">
        <v>16</v>
      </c>
      <c r="F19" s="34" t="s">
        <v>658</v>
      </c>
      <c r="G19" s="35" t="s">
        <v>412</v>
      </c>
      <c r="H19" s="35" t="s">
        <v>274</v>
      </c>
      <c r="I19" s="44" t="s">
        <v>651</v>
      </c>
      <c r="J19" s="44"/>
      <c r="K19" s="36" t="str">
        <f aca="false">"210,0"</f>
        <v>210,0</v>
      </c>
      <c r="L19" s="37" t="str">
        <f aca="false">"128,7720"</f>
        <v>128,7720</v>
      </c>
      <c r="M19" s="34"/>
    </row>
    <row r="21" customFormat="false" ht="15.6" hidden="false" customHeight="false" outlineLevel="0" collapsed="false">
      <c r="A21" s="21" t="s">
        <v>179</v>
      </c>
      <c r="B21" s="21"/>
      <c r="C21" s="21"/>
      <c r="D21" s="21"/>
      <c r="E21" s="21"/>
      <c r="F21" s="21"/>
      <c r="G21" s="21"/>
      <c r="H21" s="21"/>
      <c r="I21" s="21"/>
      <c r="J21" s="21"/>
    </row>
    <row r="22" customFormat="false" ht="13.2" hidden="false" customHeight="false" outlineLevel="0" collapsed="false">
      <c r="A22" s="30" t="s">
        <v>270</v>
      </c>
      <c r="B22" s="31" t="s">
        <v>659</v>
      </c>
      <c r="C22" s="31" t="s">
        <v>272</v>
      </c>
      <c r="D22" s="31" t="str">
        <f aca="false">"0,5691"</f>
        <v>0,5691</v>
      </c>
      <c r="E22" s="30" t="s">
        <v>16</v>
      </c>
      <c r="F22" s="30" t="s">
        <v>273</v>
      </c>
      <c r="G22" s="31" t="s">
        <v>274</v>
      </c>
      <c r="H22" s="31" t="s">
        <v>275</v>
      </c>
      <c r="I22" s="31" t="s">
        <v>276</v>
      </c>
      <c r="J22" s="38"/>
      <c r="K22" s="32" t="str">
        <f aca="false">"232,5"</f>
        <v>232,5</v>
      </c>
      <c r="L22" s="33" t="str">
        <f aca="false">"132,3158"</f>
        <v>132,3158</v>
      </c>
      <c r="M22" s="30"/>
    </row>
    <row r="23" customFormat="false" ht="13.2" hidden="false" customHeight="false" outlineLevel="0" collapsed="false">
      <c r="A23" s="34" t="s">
        <v>270</v>
      </c>
      <c r="B23" s="35" t="s">
        <v>271</v>
      </c>
      <c r="C23" s="35" t="s">
        <v>272</v>
      </c>
      <c r="D23" s="35" t="str">
        <f aca="false">"0,5691"</f>
        <v>0,5691</v>
      </c>
      <c r="E23" s="34" t="s">
        <v>16</v>
      </c>
      <c r="F23" s="34" t="s">
        <v>273</v>
      </c>
      <c r="G23" s="35" t="s">
        <v>274</v>
      </c>
      <c r="H23" s="35" t="s">
        <v>275</v>
      </c>
      <c r="I23" s="35" t="s">
        <v>276</v>
      </c>
      <c r="J23" s="44"/>
      <c r="K23" s="36" t="str">
        <f aca="false">"232,5"</f>
        <v>232,5</v>
      </c>
      <c r="L23" s="37" t="str">
        <f aca="false">"182,5957"</f>
        <v>182,5957</v>
      </c>
      <c r="M23" s="34"/>
    </row>
    <row r="25" customFormat="false" ht="15.6" hidden="false" customHeight="false" outlineLevel="0" collapsed="false">
      <c r="A25" s="21" t="s">
        <v>21</v>
      </c>
      <c r="B25" s="21"/>
      <c r="C25" s="21"/>
      <c r="D25" s="21"/>
      <c r="E25" s="21"/>
      <c r="F25" s="21"/>
      <c r="G25" s="21"/>
      <c r="H25" s="21"/>
      <c r="I25" s="21"/>
      <c r="J25" s="21"/>
    </row>
    <row r="26" customFormat="false" ht="13.2" hidden="false" customHeight="false" outlineLevel="0" collapsed="false">
      <c r="A26" s="16" t="s">
        <v>84</v>
      </c>
      <c r="B26" s="17" t="s">
        <v>463</v>
      </c>
      <c r="C26" s="17" t="s">
        <v>86</v>
      </c>
      <c r="D26" s="17" t="str">
        <f aca="false">"0,5497"</f>
        <v>0,5497</v>
      </c>
      <c r="E26" s="16" t="s">
        <v>16</v>
      </c>
      <c r="F26" s="16" t="s">
        <v>87</v>
      </c>
      <c r="G26" s="17" t="s">
        <v>237</v>
      </c>
      <c r="H26" s="17" t="s">
        <v>278</v>
      </c>
      <c r="I26" s="17" t="s">
        <v>279</v>
      </c>
      <c r="J26" s="18"/>
      <c r="K26" s="19" t="str">
        <f aca="false">"160,0"</f>
        <v>160,0</v>
      </c>
      <c r="L26" s="20" t="str">
        <f aca="false">"103,1677"</f>
        <v>103,1677</v>
      </c>
      <c r="M26" s="16"/>
    </row>
    <row r="28" customFormat="false" ht="15" hidden="false" customHeight="false" outlineLevel="0" collapsed="false">
      <c r="E28" s="22" t="s">
        <v>29</v>
      </c>
    </row>
    <row r="29" customFormat="false" ht="15" hidden="false" customHeight="false" outlineLevel="0" collapsed="false">
      <c r="E29" s="22" t="s">
        <v>30</v>
      </c>
    </row>
    <row r="30" customFormat="false" ht="15" hidden="false" customHeight="false" outlineLevel="0" collapsed="false">
      <c r="E30" s="22" t="s">
        <v>31</v>
      </c>
    </row>
    <row r="31" customFormat="false" ht="13.2" hidden="false" customHeight="false" outlineLevel="0" collapsed="false">
      <c r="E31" s="1" t="s">
        <v>32</v>
      </c>
    </row>
    <row r="32" customFormat="false" ht="13.2" hidden="false" customHeight="false" outlineLevel="0" collapsed="false">
      <c r="E32" s="1" t="s">
        <v>33</v>
      </c>
    </row>
    <row r="33" customFormat="false" ht="13.2" hidden="false" customHeight="false" outlineLevel="0" collapsed="false">
      <c r="E33" s="1" t="s">
        <v>34</v>
      </c>
    </row>
    <row r="36" customFormat="false" ht="17.4" hidden="false" customHeight="false" outlineLevel="0" collapsed="false">
      <c r="A36" s="23" t="s">
        <v>35</v>
      </c>
      <c r="B36" s="24"/>
    </row>
    <row r="37" customFormat="false" ht="15.6" hidden="false" customHeight="false" outlineLevel="0" collapsed="false">
      <c r="A37" s="25" t="s">
        <v>36</v>
      </c>
      <c r="B37" s="21"/>
    </row>
    <row r="38" customFormat="false" ht="14.4" hidden="false" customHeight="false" outlineLevel="0" collapsed="false">
      <c r="A38" s="26"/>
      <c r="B38" s="27" t="s">
        <v>46</v>
      </c>
    </row>
    <row r="39" customFormat="false" ht="13.8" hidden="false" customHeight="false" outlineLevel="0" collapsed="false">
      <c r="A39" s="28" t="s">
        <v>1</v>
      </c>
      <c r="B39" s="28" t="s">
        <v>38</v>
      </c>
      <c r="C39" s="28" t="s">
        <v>39</v>
      </c>
      <c r="D39" s="28" t="s">
        <v>40</v>
      </c>
      <c r="E39" s="28" t="s">
        <v>261</v>
      </c>
    </row>
    <row r="40" customFormat="false" ht="13.2" hidden="false" customHeight="false" outlineLevel="0" collapsed="false">
      <c r="A40" s="29" t="s">
        <v>660</v>
      </c>
      <c r="B40" s="2" t="s">
        <v>46</v>
      </c>
      <c r="C40" s="2" t="s">
        <v>350</v>
      </c>
      <c r="D40" s="2" t="s">
        <v>230</v>
      </c>
      <c r="E40" s="3" t="s">
        <v>661</v>
      </c>
    </row>
    <row r="43" customFormat="false" ht="15.6" hidden="false" customHeight="false" outlineLevel="0" collapsed="false">
      <c r="A43" s="25" t="s">
        <v>45</v>
      </c>
      <c r="B43" s="21"/>
    </row>
    <row r="44" customFormat="false" ht="14.4" hidden="false" customHeight="false" outlineLevel="0" collapsed="false">
      <c r="A44" s="26"/>
      <c r="B44" s="27" t="s">
        <v>280</v>
      </c>
    </row>
    <row r="45" customFormat="false" ht="13.8" hidden="false" customHeight="false" outlineLevel="0" collapsed="false">
      <c r="A45" s="28" t="s">
        <v>1</v>
      </c>
      <c r="B45" s="28" t="s">
        <v>38</v>
      </c>
      <c r="C45" s="28" t="s">
        <v>39</v>
      </c>
      <c r="D45" s="28" t="s">
        <v>40</v>
      </c>
      <c r="E45" s="28" t="s">
        <v>261</v>
      </c>
    </row>
    <row r="46" customFormat="false" ht="13.2" hidden="false" customHeight="false" outlineLevel="0" collapsed="false">
      <c r="A46" s="29" t="s">
        <v>662</v>
      </c>
      <c r="B46" s="2" t="s">
        <v>282</v>
      </c>
      <c r="C46" s="2" t="s">
        <v>350</v>
      </c>
      <c r="D46" s="2" t="s">
        <v>236</v>
      </c>
      <c r="E46" s="3" t="s">
        <v>663</v>
      </c>
    </row>
    <row r="48" customFormat="false" ht="14.4" hidden="false" customHeight="false" outlineLevel="0" collapsed="false">
      <c r="A48" s="26"/>
      <c r="B48" s="27" t="s">
        <v>46</v>
      </c>
    </row>
    <row r="49" customFormat="false" ht="13.8" hidden="false" customHeight="false" outlineLevel="0" collapsed="false">
      <c r="A49" s="28" t="s">
        <v>1</v>
      </c>
      <c r="B49" s="28" t="s">
        <v>38</v>
      </c>
      <c r="C49" s="28" t="s">
        <v>39</v>
      </c>
      <c r="D49" s="28" t="s">
        <v>40</v>
      </c>
      <c r="E49" s="28" t="s">
        <v>261</v>
      </c>
    </row>
    <row r="50" customFormat="false" ht="13.2" hidden="false" customHeight="false" outlineLevel="0" collapsed="false">
      <c r="A50" s="29" t="s">
        <v>287</v>
      </c>
      <c r="B50" s="2" t="s">
        <v>46</v>
      </c>
      <c r="C50" s="2" t="s">
        <v>191</v>
      </c>
      <c r="D50" s="2" t="s">
        <v>276</v>
      </c>
      <c r="E50" s="3" t="s">
        <v>664</v>
      </c>
    </row>
    <row r="51" customFormat="false" ht="13.2" hidden="false" customHeight="false" outlineLevel="0" collapsed="false">
      <c r="A51" s="29" t="s">
        <v>665</v>
      </c>
      <c r="B51" s="2" t="s">
        <v>46</v>
      </c>
      <c r="C51" s="2" t="s">
        <v>102</v>
      </c>
      <c r="D51" s="2" t="s">
        <v>274</v>
      </c>
      <c r="E51" s="3" t="s">
        <v>666</v>
      </c>
    </row>
    <row r="52" customFormat="false" ht="13.2" hidden="false" customHeight="false" outlineLevel="0" collapsed="false">
      <c r="A52" s="29" t="s">
        <v>667</v>
      </c>
      <c r="B52" s="2" t="s">
        <v>46</v>
      </c>
      <c r="C52" s="2" t="s">
        <v>102</v>
      </c>
      <c r="D52" s="2" t="s">
        <v>458</v>
      </c>
      <c r="E52" s="3" t="s">
        <v>668</v>
      </c>
    </row>
    <row r="54" customFormat="false" ht="14.4" hidden="false" customHeight="false" outlineLevel="0" collapsed="false">
      <c r="A54" s="26"/>
      <c r="B54" s="27" t="s">
        <v>37</v>
      </c>
    </row>
    <row r="55" customFormat="false" ht="13.8" hidden="false" customHeight="false" outlineLevel="0" collapsed="false">
      <c r="A55" s="28" t="s">
        <v>1</v>
      </c>
      <c r="B55" s="28" t="s">
        <v>38</v>
      </c>
      <c r="C55" s="28" t="s">
        <v>39</v>
      </c>
      <c r="D55" s="28" t="s">
        <v>40</v>
      </c>
      <c r="E55" s="28" t="s">
        <v>261</v>
      </c>
    </row>
    <row r="56" customFormat="false" ht="13.2" hidden="false" customHeight="false" outlineLevel="0" collapsed="false">
      <c r="A56" s="29" t="s">
        <v>669</v>
      </c>
      <c r="B56" s="2" t="s">
        <v>370</v>
      </c>
      <c r="C56" s="2" t="s">
        <v>357</v>
      </c>
      <c r="D56" s="2" t="s">
        <v>651</v>
      </c>
      <c r="E56" s="3" t="s">
        <v>670</v>
      </c>
    </row>
    <row r="57" customFormat="false" ht="13.2" hidden="false" customHeight="false" outlineLevel="0" collapsed="false">
      <c r="A57" s="29" t="s">
        <v>287</v>
      </c>
      <c r="B57" s="2" t="s">
        <v>288</v>
      </c>
      <c r="C57" s="2" t="s">
        <v>191</v>
      </c>
      <c r="D57" s="2" t="s">
        <v>276</v>
      </c>
      <c r="E57" s="3" t="s">
        <v>671</v>
      </c>
    </row>
    <row r="58" customFormat="false" ht="13.2" hidden="false" customHeight="false" outlineLevel="0" collapsed="false">
      <c r="A58" s="29" t="s">
        <v>96</v>
      </c>
      <c r="B58" s="2" t="s">
        <v>370</v>
      </c>
      <c r="C58" s="2" t="s">
        <v>43</v>
      </c>
      <c r="D58" s="2" t="s">
        <v>237</v>
      </c>
      <c r="E58" s="3" t="s">
        <v>672</v>
      </c>
    </row>
    <row r="59" customFormat="false" ht="13.2" hidden="false" customHeight="false" outlineLevel="0" collapsed="false">
      <c r="A59" s="29" t="s">
        <v>93</v>
      </c>
      <c r="B59" s="2" t="s">
        <v>42</v>
      </c>
      <c r="C59" s="2" t="s">
        <v>48</v>
      </c>
      <c r="D59" s="2" t="s">
        <v>279</v>
      </c>
      <c r="E59" s="3" t="s">
        <v>673</v>
      </c>
    </row>
  </sheetData>
  <mergeCells count="18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  <mergeCell ref="A11:J11"/>
    <mergeCell ref="A14:J14"/>
    <mergeCell ref="A17:J17"/>
    <mergeCell ref="A21:J21"/>
    <mergeCell ref="A25:J2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890625" defaultRowHeight="13.2" zeroHeight="false" outlineLevelRow="0" outlineLevelCol="0"/>
  <cols>
    <col collapsed="false" customWidth="true" hidden="false" outlineLevel="0" max="1" min="1" style="1" width="24.87"/>
    <col collapsed="false" customWidth="true" hidden="false" outlineLevel="0" max="2" min="2" style="2" width="19.12"/>
    <col collapsed="false" customWidth="true" hidden="false" outlineLevel="0" max="3" min="3" style="2" width="7.56"/>
    <col collapsed="false" customWidth="true" hidden="false" outlineLevel="0" max="4" min="4" style="2" width="8.79"/>
    <col collapsed="false" customWidth="true" hidden="false" outlineLevel="0" max="5" min="5" style="1" width="17"/>
    <col collapsed="false" customWidth="true" hidden="false" outlineLevel="0" max="6" min="6" style="1" width="23.43"/>
    <col collapsed="false" customWidth="true" hidden="false" outlineLevel="0" max="9" min="7" style="2" width="5.55"/>
    <col collapsed="false" customWidth="true" hidden="false" outlineLevel="0" max="10" min="10" style="2" width="4.78"/>
    <col collapsed="false" customWidth="true" hidden="false" outlineLevel="0" max="13" min="11" style="2" width="5.55"/>
    <col collapsed="false" customWidth="true" hidden="false" outlineLevel="0" max="14" min="14" style="2" width="4.78"/>
    <col collapsed="false" customWidth="true" hidden="false" outlineLevel="0" max="17" min="15" style="2" width="5.55"/>
    <col collapsed="false" customWidth="true" hidden="false" outlineLevel="0" max="18" min="18" style="2" width="4.78"/>
    <col collapsed="false" customWidth="true" hidden="false" outlineLevel="0" max="19" min="19" style="3" width="5.78"/>
    <col collapsed="false" customWidth="true" hidden="false" outlineLevel="0" max="20" min="20" style="4" width="8.56"/>
    <col collapsed="false" customWidth="true" hidden="false" outlineLevel="0" max="21" min="21" style="1" width="7.11"/>
    <col collapsed="false" customWidth="false" hidden="false" outlineLevel="0" max="1024" min="22" style="5" width="9.12"/>
  </cols>
  <sheetData>
    <row r="1" s="7" customFormat="true" ht="28.95" hidden="false" customHeight="true" outlineLevel="0" collapsed="false">
      <c r="A1" s="6" t="s">
        <v>674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261</v>
      </c>
      <c r="E3" s="10" t="s">
        <v>5</v>
      </c>
      <c r="F3" s="10" t="s">
        <v>6</v>
      </c>
      <c r="G3" s="11" t="s">
        <v>292</v>
      </c>
      <c r="H3" s="11"/>
      <c r="I3" s="11"/>
      <c r="J3" s="11"/>
      <c r="K3" s="11" t="s">
        <v>7</v>
      </c>
      <c r="L3" s="11"/>
      <c r="M3" s="11"/>
      <c r="N3" s="11"/>
      <c r="O3" s="11" t="s">
        <v>262</v>
      </c>
      <c r="P3" s="11"/>
      <c r="Q3" s="11"/>
      <c r="R3" s="11"/>
      <c r="S3" s="10" t="s">
        <v>263</v>
      </c>
      <c r="T3" s="10" t="s">
        <v>9</v>
      </c>
      <c r="U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4" t="n">
        <v>1</v>
      </c>
      <c r="L4" s="14" t="n">
        <v>2</v>
      </c>
      <c r="M4" s="14" t="n">
        <v>3</v>
      </c>
      <c r="N4" s="14" t="s">
        <v>11</v>
      </c>
      <c r="O4" s="14" t="n">
        <v>1</v>
      </c>
      <c r="P4" s="14" t="n">
        <v>2</v>
      </c>
      <c r="Q4" s="14" t="n">
        <v>3</v>
      </c>
      <c r="R4" s="14" t="s">
        <v>11</v>
      </c>
      <c r="S4" s="10"/>
      <c r="T4" s="10"/>
      <c r="U4" s="12"/>
    </row>
    <row r="5" s="2" customFormat="true" ht="15.6" hidden="false" customHeight="false" outlineLevel="0" collapsed="false">
      <c r="A5" s="15" t="s">
        <v>21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3"/>
      <c r="T5" s="4"/>
      <c r="U5" s="1"/>
    </row>
    <row r="6" s="2" customFormat="true" ht="13.2" hidden="false" customHeight="false" outlineLevel="0" collapsed="false">
      <c r="A6" s="16" t="s">
        <v>675</v>
      </c>
      <c r="B6" s="17" t="s">
        <v>676</v>
      </c>
      <c r="C6" s="17" t="s">
        <v>677</v>
      </c>
      <c r="D6" s="17" t="str">
        <f aca="false">"0,5395"</f>
        <v>0,5395</v>
      </c>
      <c r="E6" s="16" t="s">
        <v>16</v>
      </c>
      <c r="F6" s="16" t="s">
        <v>273</v>
      </c>
      <c r="G6" s="17" t="s">
        <v>279</v>
      </c>
      <c r="H6" s="17" t="s">
        <v>678</v>
      </c>
      <c r="I6" s="17" t="s">
        <v>411</v>
      </c>
      <c r="J6" s="18"/>
      <c r="K6" s="17" t="s">
        <v>279</v>
      </c>
      <c r="L6" s="17" t="s">
        <v>403</v>
      </c>
      <c r="M6" s="17" t="s">
        <v>427</v>
      </c>
      <c r="N6" s="18"/>
      <c r="O6" s="17" t="s">
        <v>411</v>
      </c>
      <c r="P6" s="17" t="s">
        <v>405</v>
      </c>
      <c r="Q6" s="17" t="s">
        <v>26</v>
      </c>
      <c r="R6" s="18"/>
      <c r="S6" s="19" t="str">
        <f aca="false">"585,0"</f>
        <v>585,0</v>
      </c>
      <c r="T6" s="20" t="str">
        <f aca="false">"315,6075"</f>
        <v>315,6075</v>
      </c>
      <c r="U6" s="16"/>
    </row>
    <row r="7" s="2" customFormat="true" ht="13.2" hidden="false" customHeight="false" outlineLevel="0" collapsed="false">
      <c r="A7" s="1"/>
      <c r="E7" s="1"/>
      <c r="F7" s="1"/>
      <c r="S7" s="3"/>
      <c r="T7" s="4"/>
      <c r="U7" s="1"/>
    </row>
    <row r="8" customFormat="false" ht="15" hidden="false" customHeight="false" outlineLevel="0" collapsed="false">
      <c r="E8" s="22" t="s">
        <v>29</v>
      </c>
    </row>
    <row r="9" customFormat="false" ht="15" hidden="false" customHeight="false" outlineLevel="0" collapsed="false">
      <c r="E9" s="22" t="s">
        <v>30</v>
      </c>
    </row>
    <row r="10" customFormat="false" ht="15" hidden="false" customHeight="false" outlineLevel="0" collapsed="false">
      <c r="E10" s="22" t="s">
        <v>31</v>
      </c>
    </row>
    <row r="11" customFormat="false" ht="13.2" hidden="false" customHeight="false" outlineLevel="0" collapsed="false">
      <c r="E11" s="1" t="s">
        <v>32</v>
      </c>
    </row>
    <row r="12" customFormat="false" ht="13.2" hidden="false" customHeight="false" outlineLevel="0" collapsed="false">
      <c r="E12" s="1" t="s">
        <v>33</v>
      </c>
    </row>
    <row r="13" customFormat="false" ht="13.2" hidden="false" customHeight="false" outlineLevel="0" collapsed="false">
      <c r="E13" s="1" t="s">
        <v>34</v>
      </c>
    </row>
    <row r="16" customFormat="false" ht="17.4" hidden="false" customHeight="false" outlineLevel="0" collapsed="false">
      <c r="A16" s="23" t="s">
        <v>35</v>
      </c>
      <c r="B16" s="24"/>
    </row>
    <row r="17" customFormat="false" ht="15.6" hidden="false" customHeight="false" outlineLevel="0" collapsed="false">
      <c r="A17" s="25" t="s">
        <v>45</v>
      </c>
      <c r="B17" s="21"/>
    </row>
    <row r="18" customFormat="false" ht="14.4" hidden="false" customHeight="false" outlineLevel="0" collapsed="false">
      <c r="A18" s="26"/>
      <c r="B18" s="27" t="s">
        <v>46</v>
      </c>
    </row>
    <row r="19" customFormat="false" ht="13.8" hidden="false" customHeight="false" outlineLevel="0" collapsed="false">
      <c r="A19" s="28" t="s">
        <v>1</v>
      </c>
      <c r="B19" s="28" t="s">
        <v>38</v>
      </c>
      <c r="C19" s="28" t="s">
        <v>39</v>
      </c>
      <c r="D19" s="28" t="s">
        <v>281</v>
      </c>
      <c r="E19" s="28" t="s">
        <v>261</v>
      </c>
    </row>
    <row r="20" customFormat="false" ht="13.2" hidden="false" customHeight="false" outlineLevel="0" collapsed="false">
      <c r="A20" s="29" t="s">
        <v>679</v>
      </c>
      <c r="B20" s="2" t="s">
        <v>46</v>
      </c>
      <c r="C20" s="2" t="s">
        <v>48</v>
      </c>
      <c r="D20" s="2" t="s">
        <v>680</v>
      </c>
      <c r="E20" s="3" t="s">
        <v>681</v>
      </c>
    </row>
  </sheetData>
  <mergeCells count="14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R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890625" defaultRowHeight="13.2" zeroHeight="false" outlineLevelRow="0" outlineLevelCol="0"/>
  <cols>
    <col collapsed="false" customWidth="true" hidden="false" outlineLevel="0" max="1" min="1" style="1" width="24.87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8.79"/>
    <col collapsed="false" customWidth="true" hidden="false" outlineLevel="0" max="5" min="5" style="1" width="17"/>
    <col collapsed="false" customWidth="true" hidden="false" outlineLevel="0" max="6" min="6" style="1" width="27.22"/>
    <col collapsed="false" customWidth="true" hidden="false" outlineLevel="0" max="9" min="7" style="2" width="5.55"/>
    <col collapsed="false" customWidth="true" hidden="false" outlineLevel="0" max="10" min="10" style="2" width="4.78"/>
    <col collapsed="false" customWidth="true" hidden="false" outlineLevel="0" max="11" min="11" style="3" width="5.78"/>
    <col collapsed="false" customWidth="true" hidden="false" outlineLevel="0" max="12" min="12" style="4" width="8.56"/>
    <col collapsed="false" customWidth="true" hidden="false" outlineLevel="0" max="13" min="13" style="1" width="7.11"/>
    <col collapsed="false" customWidth="false" hidden="false" outlineLevel="0" max="1024" min="14" style="5" width="9.12"/>
  </cols>
  <sheetData>
    <row r="1" s="7" customFormat="true" ht="28.95" hidden="false" customHeight="true" outlineLevel="0" collapsed="false">
      <c r="A1" s="6" t="s">
        <v>682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261</v>
      </c>
      <c r="E3" s="10" t="s">
        <v>5</v>
      </c>
      <c r="F3" s="10" t="s">
        <v>6</v>
      </c>
      <c r="G3" s="11" t="s">
        <v>7</v>
      </c>
      <c r="H3" s="11"/>
      <c r="I3" s="11"/>
      <c r="J3" s="11"/>
      <c r="K3" s="10" t="s">
        <v>8</v>
      </c>
      <c r="L3" s="10" t="s">
        <v>9</v>
      </c>
      <c r="M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0"/>
      <c r="L4" s="10"/>
      <c r="M4" s="12"/>
    </row>
    <row r="5" s="2" customFormat="true" ht="15.6" hidden="false" customHeight="false" outlineLevel="0" collapsed="false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4"/>
      <c r="M5" s="1"/>
    </row>
    <row r="6" s="2" customFormat="true" ht="13.2" hidden="false" customHeight="false" outlineLevel="0" collapsed="false">
      <c r="A6" s="16" t="s">
        <v>683</v>
      </c>
      <c r="B6" s="17" t="s">
        <v>116</v>
      </c>
      <c r="C6" s="17" t="s">
        <v>117</v>
      </c>
      <c r="D6" s="17" t="str">
        <f aca="false">"0,6737"</f>
        <v>0,6737</v>
      </c>
      <c r="E6" s="16" t="s">
        <v>16</v>
      </c>
      <c r="F6" s="16" t="s">
        <v>118</v>
      </c>
      <c r="G6" s="18" t="s">
        <v>236</v>
      </c>
      <c r="H6" s="17" t="s">
        <v>236</v>
      </c>
      <c r="I6" s="18" t="s">
        <v>237</v>
      </c>
      <c r="J6" s="18"/>
      <c r="K6" s="19" t="str">
        <f aca="false">"130,0"</f>
        <v>130,0</v>
      </c>
      <c r="L6" s="20" t="str">
        <f aca="false">"87,5810"</f>
        <v>87,5810</v>
      </c>
      <c r="M6" s="16"/>
    </row>
    <row r="7" s="2" customFormat="true" ht="13.2" hidden="false" customHeight="false" outlineLevel="0" collapsed="false">
      <c r="A7" s="1"/>
      <c r="E7" s="1"/>
      <c r="F7" s="1"/>
      <c r="K7" s="3"/>
      <c r="L7" s="4"/>
      <c r="M7" s="1"/>
    </row>
    <row r="8" customFormat="false" ht="15.6" hidden="false" customHeight="false" outlineLevel="0" collapsed="false">
      <c r="A8" s="21" t="s">
        <v>330</v>
      </c>
      <c r="B8" s="21"/>
      <c r="C8" s="21"/>
      <c r="D8" s="21"/>
      <c r="E8" s="21"/>
      <c r="F8" s="21"/>
      <c r="G8" s="21"/>
      <c r="H8" s="21"/>
      <c r="I8" s="21"/>
      <c r="J8" s="21"/>
    </row>
    <row r="9" customFormat="false" ht="13.2" hidden="false" customHeight="false" outlineLevel="0" collapsed="false">
      <c r="A9" s="16" t="s">
        <v>684</v>
      </c>
      <c r="B9" s="17" t="s">
        <v>685</v>
      </c>
      <c r="C9" s="17" t="s">
        <v>686</v>
      </c>
      <c r="D9" s="17" t="str">
        <f aca="false">"0,6347"</f>
        <v>0,6347</v>
      </c>
      <c r="E9" s="16" t="s">
        <v>16</v>
      </c>
      <c r="F9" s="16" t="s">
        <v>17</v>
      </c>
      <c r="G9" s="17" t="s">
        <v>236</v>
      </c>
      <c r="H9" s="17" t="s">
        <v>267</v>
      </c>
      <c r="I9" s="18" t="s">
        <v>237</v>
      </c>
      <c r="J9" s="18"/>
      <c r="K9" s="19" t="str">
        <f aca="false">"135,0"</f>
        <v>135,0</v>
      </c>
      <c r="L9" s="20" t="str">
        <f aca="false">"88,3407"</f>
        <v>88,3407</v>
      </c>
      <c r="M9" s="16"/>
    </row>
    <row r="11" customFormat="false" ht="15.6" hidden="false" customHeight="false" outlineLevel="0" collapsed="false">
      <c r="A11" s="21" t="s">
        <v>78</v>
      </c>
      <c r="B11" s="21"/>
      <c r="C11" s="21"/>
      <c r="D11" s="21"/>
      <c r="E11" s="21"/>
      <c r="F11" s="21"/>
      <c r="G11" s="21"/>
      <c r="H11" s="21"/>
      <c r="I11" s="21"/>
      <c r="J11" s="21"/>
    </row>
    <row r="12" customFormat="false" ht="13.2" hidden="false" customHeight="false" outlineLevel="0" collapsed="false">
      <c r="A12" s="30" t="s">
        <v>687</v>
      </c>
      <c r="B12" s="31" t="s">
        <v>688</v>
      </c>
      <c r="C12" s="31" t="s">
        <v>689</v>
      </c>
      <c r="D12" s="31" t="str">
        <f aca="false">"0,5881"</f>
        <v>0,5881</v>
      </c>
      <c r="E12" s="30" t="s">
        <v>16</v>
      </c>
      <c r="F12" s="30" t="s">
        <v>690</v>
      </c>
      <c r="G12" s="31" t="s">
        <v>678</v>
      </c>
      <c r="H12" s="38" t="s">
        <v>427</v>
      </c>
      <c r="I12" s="38" t="s">
        <v>427</v>
      </c>
      <c r="J12" s="38"/>
      <c r="K12" s="32" t="str">
        <f aca="false">"175,0"</f>
        <v>175,0</v>
      </c>
      <c r="L12" s="33" t="str">
        <f aca="false">"102,9175"</f>
        <v>102,9175</v>
      </c>
      <c r="M12" s="30"/>
    </row>
    <row r="13" customFormat="false" ht="13.2" hidden="false" customHeight="false" outlineLevel="0" collapsed="false">
      <c r="A13" s="34" t="s">
        <v>687</v>
      </c>
      <c r="B13" s="35" t="s">
        <v>691</v>
      </c>
      <c r="C13" s="35" t="s">
        <v>689</v>
      </c>
      <c r="D13" s="35" t="str">
        <f aca="false">"0,5881"</f>
        <v>0,5881</v>
      </c>
      <c r="E13" s="34" t="s">
        <v>16</v>
      </c>
      <c r="F13" s="34" t="s">
        <v>690</v>
      </c>
      <c r="G13" s="35" t="s">
        <v>678</v>
      </c>
      <c r="H13" s="44" t="s">
        <v>427</v>
      </c>
      <c r="I13" s="44" t="s">
        <v>427</v>
      </c>
      <c r="J13" s="44"/>
      <c r="K13" s="36" t="str">
        <f aca="false">"175,0"</f>
        <v>175,0</v>
      </c>
      <c r="L13" s="37" t="str">
        <f aca="false">"102,9175"</f>
        <v>102,9175</v>
      </c>
      <c r="M13" s="34"/>
    </row>
    <row r="15" customFormat="false" ht="15.6" hidden="false" customHeight="false" outlineLevel="0" collapsed="false">
      <c r="A15" s="21" t="s">
        <v>21</v>
      </c>
      <c r="B15" s="21"/>
      <c r="C15" s="21"/>
      <c r="D15" s="21"/>
      <c r="E15" s="21"/>
      <c r="F15" s="21"/>
      <c r="G15" s="21"/>
      <c r="H15" s="21"/>
      <c r="I15" s="21"/>
      <c r="J15" s="21"/>
    </row>
    <row r="16" customFormat="false" ht="13.2" hidden="false" customHeight="false" outlineLevel="0" collapsed="false">
      <c r="A16" s="16" t="s">
        <v>692</v>
      </c>
      <c r="B16" s="17" t="s">
        <v>693</v>
      </c>
      <c r="C16" s="17" t="s">
        <v>24</v>
      </c>
      <c r="D16" s="17" t="str">
        <f aca="false">"0,5411"</f>
        <v>0,5411</v>
      </c>
      <c r="E16" s="16" t="s">
        <v>16</v>
      </c>
      <c r="F16" s="16" t="s">
        <v>17</v>
      </c>
      <c r="G16" s="17" t="s">
        <v>554</v>
      </c>
      <c r="H16" s="18" t="s">
        <v>427</v>
      </c>
      <c r="I16" s="18" t="s">
        <v>427</v>
      </c>
      <c r="J16" s="18"/>
      <c r="K16" s="19" t="str">
        <f aca="false">"172,5"</f>
        <v>172,5</v>
      </c>
      <c r="L16" s="20" t="str">
        <f aca="false">"93,3398"</f>
        <v>93,3398</v>
      </c>
      <c r="M16" s="16"/>
    </row>
    <row r="18" customFormat="false" ht="15.6" hidden="false" customHeight="false" outlineLevel="0" collapsed="false">
      <c r="A18" s="21" t="s">
        <v>581</v>
      </c>
      <c r="B18" s="21"/>
      <c r="C18" s="21"/>
      <c r="D18" s="21"/>
      <c r="E18" s="21"/>
      <c r="F18" s="21"/>
      <c r="G18" s="21"/>
      <c r="H18" s="21"/>
      <c r="I18" s="21"/>
      <c r="J18" s="21"/>
    </row>
    <row r="19" customFormat="false" ht="13.2" hidden="false" customHeight="false" outlineLevel="0" collapsed="false">
      <c r="A19" s="16" t="s">
        <v>694</v>
      </c>
      <c r="B19" s="17" t="s">
        <v>695</v>
      </c>
      <c r="C19" s="17" t="s">
        <v>696</v>
      </c>
      <c r="D19" s="17" t="str">
        <f aca="false">"0,5298"</f>
        <v>0,5298</v>
      </c>
      <c r="E19" s="16" t="s">
        <v>16</v>
      </c>
      <c r="F19" s="16" t="s">
        <v>17</v>
      </c>
      <c r="G19" s="17" t="s">
        <v>412</v>
      </c>
      <c r="H19" s="17" t="s">
        <v>405</v>
      </c>
      <c r="I19" s="18" t="s">
        <v>469</v>
      </c>
      <c r="J19" s="18"/>
      <c r="K19" s="19" t="str">
        <f aca="false">"200,0"</f>
        <v>200,0</v>
      </c>
      <c r="L19" s="20" t="str">
        <f aca="false">"105,9600"</f>
        <v>105,9600</v>
      </c>
      <c r="M19" s="16"/>
    </row>
    <row r="21" customFormat="false" ht="15" hidden="false" customHeight="false" outlineLevel="0" collapsed="false">
      <c r="E21" s="22" t="s">
        <v>29</v>
      </c>
    </row>
    <row r="22" customFormat="false" ht="15" hidden="false" customHeight="false" outlineLevel="0" collapsed="false">
      <c r="E22" s="22" t="s">
        <v>30</v>
      </c>
    </row>
    <row r="23" customFormat="false" ht="15" hidden="false" customHeight="false" outlineLevel="0" collapsed="false">
      <c r="E23" s="22" t="s">
        <v>31</v>
      </c>
    </row>
    <row r="24" customFormat="false" ht="13.2" hidden="false" customHeight="false" outlineLevel="0" collapsed="false">
      <c r="E24" s="1" t="s">
        <v>32</v>
      </c>
    </row>
    <row r="25" customFormat="false" ht="13.2" hidden="false" customHeight="false" outlineLevel="0" collapsed="false">
      <c r="E25" s="1" t="s">
        <v>33</v>
      </c>
    </row>
    <row r="26" customFormat="false" ht="13.2" hidden="false" customHeight="false" outlineLevel="0" collapsed="false">
      <c r="E26" s="1" t="s">
        <v>34</v>
      </c>
    </row>
    <row r="29" customFormat="false" ht="17.4" hidden="false" customHeight="false" outlineLevel="0" collapsed="false">
      <c r="A29" s="23" t="s">
        <v>35</v>
      </c>
      <c r="B29" s="24"/>
    </row>
    <row r="30" customFormat="false" ht="15.6" hidden="false" customHeight="false" outlineLevel="0" collapsed="false">
      <c r="A30" s="25" t="s">
        <v>45</v>
      </c>
      <c r="B30" s="21"/>
    </row>
    <row r="31" customFormat="false" ht="14.4" hidden="false" customHeight="false" outlineLevel="0" collapsed="false">
      <c r="A31" s="26"/>
      <c r="B31" s="27" t="s">
        <v>280</v>
      </c>
    </row>
    <row r="32" customFormat="false" ht="13.8" hidden="false" customHeight="false" outlineLevel="0" collapsed="false">
      <c r="A32" s="28" t="s">
        <v>1</v>
      </c>
      <c r="B32" s="28" t="s">
        <v>38</v>
      </c>
      <c r="C32" s="28" t="s">
        <v>39</v>
      </c>
      <c r="D32" s="28" t="s">
        <v>40</v>
      </c>
      <c r="E32" s="28" t="s">
        <v>261</v>
      </c>
    </row>
    <row r="33" customFormat="false" ht="13.2" hidden="false" customHeight="false" outlineLevel="0" collapsed="false">
      <c r="A33" s="29" t="s">
        <v>697</v>
      </c>
      <c r="B33" s="2" t="s">
        <v>282</v>
      </c>
      <c r="C33" s="2" t="s">
        <v>102</v>
      </c>
      <c r="D33" s="2" t="s">
        <v>678</v>
      </c>
      <c r="E33" s="3" t="s">
        <v>698</v>
      </c>
    </row>
    <row r="35" customFormat="false" ht="14.4" hidden="false" customHeight="false" outlineLevel="0" collapsed="false">
      <c r="A35" s="26"/>
      <c r="B35" s="27" t="s">
        <v>46</v>
      </c>
    </row>
    <row r="36" customFormat="false" ht="13.8" hidden="false" customHeight="false" outlineLevel="0" collapsed="false">
      <c r="A36" s="28" t="s">
        <v>1</v>
      </c>
      <c r="B36" s="28" t="s">
        <v>38</v>
      </c>
      <c r="C36" s="28" t="s">
        <v>39</v>
      </c>
      <c r="D36" s="28" t="s">
        <v>40</v>
      </c>
      <c r="E36" s="28" t="s">
        <v>261</v>
      </c>
    </row>
    <row r="37" customFormat="false" ht="13.2" hidden="false" customHeight="false" outlineLevel="0" collapsed="false">
      <c r="A37" s="29" t="s">
        <v>699</v>
      </c>
      <c r="B37" s="2" t="s">
        <v>46</v>
      </c>
      <c r="C37" s="2" t="s">
        <v>634</v>
      </c>
      <c r="D37" s="2" t="s">
        <v>405</v>
      </c>
      <c r="E37" s="3" t="s">
        <v>700</v>
      </c>
    </row>
    <row r="38" customFormat="false" ht="13.2" hidden="false" customHeight="false" outlineLevel="0" collapsed="false">
      <c r="A38" s="29" t="s">
        <v>697</v>
      </c>
      <c r="B38" s="2" t="s">
        <v>46</v>
      </c>
      <c r="C38" s="2" t="s">
        <v>102</v>
      </c>
      <c r="D38" s="2" t="s">
        <v>678</v>
      </c>
      <c r="E38" s="3" t="s">
        <v>698</v>
      </c>
    </row>
    <row r="39" customFormat="false" ht="13.2" hidden="false" customHeight="false" outlineLevel="0" collapsed="false">
      <c r="A39" s="29" t="s">
        <v>701</v>
      </c>
      <c r="B39" s="2" t="s">
        <v>46</v>
      </c>
      <c r="C39" s="2" t="s">
        <v>48</v>
      </c>
      <c r="D39" s="2" t="s">
        <v>554</v>
      </c>
      <c r="E39" s="3" t="s">
        <v>702</v>
      </c>
    </row>
    <row r="40" customFormat="false" ht="13.2" hidden="false" customHeight="false" outlineLevel="0" collapsed="false">
      <c r="A40" s="29" t="s">
        <v>127</v>
      </c>
      <c r="B40" s="2" t="s">
        <v>46</v>
      </c>
      <c r="C40" s="2" t="s">
        <v>43</v>
      </c>
      <c r="D40" s="2" t="s">
        <v>236</v>
      </c>
      <c r="E40" s="3" t="s">
        <v>703</v>
      </c>
    </row>
    <row r="42" customFormat="false" ht="14.4" hidden="false" customHeight="false" outlineLevel="0" collapsed="false">
      <c r="A42" s="26"/>
      <c r="B42" s="27" t="s">
        <v>37</v>
      </c>
    </row>
    <row r="43" customFormat="false" ht="13.8" hidden="false" customHeight="false" outlineLevel="0" collapsed="false">
      <c r="A43" s="28" t="s">
        <v>1</v>
      </c>
      <c r="B43" s="28" t="s">
        <v>38</v>
      </c>
      <c r="C43" s="28" t="s">
        <v>39</v>
      </c>
      <c r="D43" s="28" t="s">
        <v>40</v>
      </c>
      <c r="E43" s="28" t="s">
        <v>261</v>
      </c>
    </row>
    <row r="44" customFormat="false" ht="13.2" hidden="false" customHeight="false" outlineLevel="0" collapsed="false">
      <c r="A44" s="29" t="s">
        <v>704</v>
      </c>
      <c r="B44" s="2" t="s">
        <v>352</v>
      </c>
      <c r="C44" s="2" t="s">
        <v>357</v>
      </c>
      <c r="D44" s="2" t="s">
        <v>267</v>
      </c>
      <c r="E44" s="3" t="s">
        <v>705</v>
      </c>
    </row>
  </sheetData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  <mergeCell ref="A11:J11"/>
    <mergeCell ref="A15:J15"/>
    <mergeCell ref="A18:J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890625" defaultRowHeight="13.2" zeroHeight="false" outlineLevelRow="0" outlineLevelCol="0"/>
  <cols>
    <col collapsed="false" customWidth="true" hidden="false" outlineLevel="0" max="1" min="1" style="1" width="24.87"/>
    <col collapsed="false" customWidth="true" hidden="false" outlineLevel="0" max="2" min="2" style="2" width="19.12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1" width="17"/>
    <col collapsed="false" customWidth="true" hidden="false" outlineLevel="0" max="6" min="6" style="1" width="19.33"/>
    <col collapsed="false" customWidth="true" hidden="false" outlineLevel="0" max="7" min="7" style="2" width="7.79"/>
    <col collapsed="false" customWidth="true" hidden="false" outlineLevel="0" max="8" min="8" style="2" width="4.56"/>
    <col collapsed="false" customWidth="true" hidden="false" outlineLevel="0" max="9" min="9" style="3" width="6.56"/>
    <col collapsed="false" customWidth="true" hidden="false" outlineLevel="0" max="10" min="10" style="4" width="9.56"/>
    <col collapsed="false" customWidth="true" hidden="false" outlineLevel="0" max="11" min="11" style="1" width="7.11"/>
    <col collapsed="false" customWidth="false" hidden="false" outlineLevel="0" max="1024" min="12" style="5" width="9.12"/>
  </cols>
  <sheetData>
    <row r="1" s="7" customFormat="true" ht="28.95" hidden="false" customHeight="true" outlineLevel="0" collapsed="false">
      <c r="A1" s="6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1" t="s">
        <v>51</v>
      </c>
      <c r="H3" s="11"/>
      <c r="I3" s="10" t="s">
        <v>52</v>
      </c>
      <c r="J3" s="10" t="s">
        <v>9</v>
      </c>
      <c r="K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s">
        <v>53</v>
      </c>
      <c r="H4" s="14" t="s">
        <v>54</v>
      </c>
      <c r="I4" s="10"/>
      <c r="J4" s="10"/>
      <c r="K4" s="12"/>
    </row>
    <row r="5" s="2" customFormat="true" ht="15.6" hidden="false" customHeight="false" outlineLevel="0" collapsed="false">
      <c r="A5" s="15" t="s">
        <v>55</v>
      </c>
      <c r="B5" s="15"/>
      <c r="C5" s="15"/>
      <c r="D5" s="15"/>
      <c r="E5" s="15"/>
      <c r="F5" s="15"/>
      <c r="G5" s="15"/>
      <c r="H5" s="15"/>
      <c r="I5" s="3"/>
      <c r="J5" s="4"/>
      <c r="K5" s="1"/>
    </row>
    <row r="6" s="2" customFormat="true" ht="13.2" hidden="false" customHeight="false" outlineLevel="0" collapsed="false">
      <c r="A6" s="16" t="s">
        <v>56</v>
      </c>
      <c r="B6" s="17" t="s">
        <v>57</v>
      </c>
      <c r="C6" s="17" t="s">
        <v>58</v>
      </c>
      <c r="D6" s="17" t="str">
        <f aca="false">"1,1423"</f>
        <v>1,1423</v>
      </c>
      <c r="E6" s="16" t="s">
        <v>16</v>
      </c>
      <c r="F6" s="16" t="s">
        <v>59</v>
      </c>
      <c r="G6" s="17" t="s">
        <v>60</v>
      </c>
      <c r="H6" s="17" t="s">
        <v>61</v>
      </c>
      <c r="I6" s="19" t="str">
        <f aca="false">"1350,0"</f>
        <v>1350,0</v>
      </c>
      <c r="J6" s="20" t="str">
        <f aca="false">"1542,1050"</f>
        <v>1542,1050</v>
      </c>
      <c r="K6" s="16"/>
    </row>
    <row r="7" s="2" customFormat="true" ht="13.2" hidden="false" customHeight="false" outlineLevel="0" collapsed="false">
      <c r="A7" s="1"/>
      <c r="E7" s="1"/>
      <c r="F7" s="1"/>
      <c r="I7" s="3"/>
      <c r="J7" s="4"/>
      <c r="K7" s="1"/>
    </row>
    <row r="8" customFormat="false" ht="15" hidden="false" customHeight="false" outlineLevel="0" collapsed="false">
      <c r="E8" s="22" t="s">
        <v>29</v>
      </c>
    </row>
    <row r="9" customFormat="false" ht="15" hidden="false" customHeight="false" outlineLevel="0" collapsed="false">
      <c r="E9" s="22" t="s">
        <v>30</v>
      </c>
    </row>
    <row r="10" customFormat="false" ht="15" hidden="false" customHeight="false" outlineLevel="0" collapsed="false">
      <c r="E10" s="22" t="s">
        <v>31</v>
      </c>
    </row>
    <row r="11" customFormat="false" ht="13.2" hidden="false" customHeight="false" outlineLevel="0" collapsed="false">
      <c r="E11" s="1" t="s">
        <v>32</v>
      </c>
    </row>
    <row r="12" customFormat="false" ht="13.2" hidden="false" customHeight="false" outlineLevel="0" collapsed="false">
      <c r="E12" s="1" t="s">
        <v>33</v>
      </c>
    </row>
    <row r="13" customFormat="false" ht="13.2" hidden="false" customHeight="false" outlineLevel="0" collapsed="false">
      <c r="E13" s="1" t="s">
        <v>34</v>
      </c>
    </row>
    <row r="16" customFormat="false" ht="17.4" hidden="false" customHeight="false" outlineLevel="0" collapsed="false">
      <c r="A16" s="23" t="s">
        <v>35</v>
      </c>
      <c r="B16" s="24"/>
    </row>
    <row r="17" customFormat="false" ht="15.6" hidden="false" customHeight="false" outlineLevel="0" collapsed="false">
      <c r="A17" s="25" t="s">
        <v>36</v>
      </c>
      <c r="B17" s="21"/>
    </row>
    <row r="18" customFormat="false" ht="14.4" hidden="false" customHeight="false" outlineLevel="0" collapsed="false">
      <c r="A18" s="26"/>
      <c r="B18" s="27" t="s">
        <v>46</v>
      </c>
    </row>
    <row r="19" customFormat="false" ht="13.8" hidden="false" customHeight="false" outlineLevel="0" collapsed="false">
      <c r="A19" s="28" t="s">
        <v>1</v>
      </c>
      <c r="B19" s="28" t="s">
        <v>38</v>
      </c>
      <c r="C19" s="28" t="s">
        <v>39</v>
      </c>
      <c r="D19" s="28" t="s">
        <v>40</v>
      </c>
      <c r="E19" s="28" t="s">
        <v>4</v>
      </c>
    </row>
    <row r="20" customFormat="false" ht="13.2" hidden="false" customHeight="false" outlineLevel="0" collapsed="false">
      <c r="A20" s="29" t="s">
        <v>62</v>
      </c>
      <c r="B20" s="2" t="s">
        <v>46</v>
      </c>
      <c r="C20" s="2" t="s">
        <v>63</v>
      </c>
      <c r="D20" s="2" t="s">
        <v>64</v>
      </c>
      <c r="E20" s="3" t="s">
        <v>65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M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890625" defaultRowHeight="13.2" zeroHeight="false" outlineLevelRow="0" outlineLevelCol="0"/>
  <cols>
    <col collapsed="false" customWidth="true" hidden="false" outlineLevel="0" max="1" min="1" style="1" width="24.87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8.79"/>
    <col collapsed="false" customWidth="true" hidden="false" outlineLevel="0" max="5" min="5" style="1" width="17"/>
    <col collapsed="false" customWidth="true" hidden="false" outlineLevel="0" max="6" min="6" style="1" width="30.89"/>
    <col collapsed="false" customWidth="true" hidden="false" outlineLevel="0" max="10" min="7" style="2" width="5.55"/>
    <col collapsed="false" customWidth="true" hidden="false" outlineLevel="0" max="11" min="11" style="3" width="5.78"/>
    <col collapsed="false" customWidth="true" hidden="false" outlineLevel="0" max="12" min="12" style="4" width="8.56"/>
    <col collapsed="false" customWidth="true" hidden="false" outlineLevel="0" max="13" min="13" style="1" width="7.11"/>
    <col collapsed="false" customWidth="false" hidden="false" outlineLevel="0" max="1024" min="14" style="5" width="9.12"/>
  </cols>
  <sheetData>
    <row r="1" s="7" customFormat="true" ht="28.95" hidden="false" customHeight="true" outlineLevel="0" collapsed="false">
      <c r="A1" s="6" t="s">
        <v>706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261</v>
      </c>
      <c r="E3" s="10" t="s">
        <v>5</v>
      </c>
      <c r="F3" s="10" t="s">
        <v>6</v>
      </c>
      <c r="G3" s="11" t="s">
        <v>262</v>
      </c>
      <c r="H3" s="11"/>
      <c r="I3" s="11"/>
      <c r="J3" s="11"/>
      <c r="K3" s="10" t="s">
        <v>8</v>
      </c>
      <c r="L3" s="10" t="s">
        <v>9</v>
      </c>
      <c r="M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0"/>
      <c r="L4" s="10"/>
      <c r="M4" s="12"/>
    </row>
    <row r="5" s="2" customFormat="true" ht="15.6" hidden="false" customHeight="false" outlineLevel="0" collapsed="false">
      <c r="A5" s="15" t="s">
        <v>330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4"/>
      <c r="M5" s="1"/>
    </row>
    <row r="6" s="2" customFormat="true" ht="13.2" hidden="false" customHeight="false" outlineLevel="0" collapsed="false">
      <c r="A6" s="16" t="s">
        <v>707</v>
      </c>
      <c r="B6" s="17" t="s">
        <v>708</v>
      </c>
      <c r="C6" s="17" t="s">
        <v>709</v>
      </c>
      <c r="D6" s="17" t="str">
        <f aca="false">"0,6262"</f>
        <v>0,6262</v>
      </c>
      <c r="E6" s="16" t="s">
        <v>16</v>
      </c>
      <c r="F6" s="16" t="s">
        <v>710</v>
      </c>
      <c r="G6" s="18" t="s">
        <v>274</v>
      </c>
      <c r="H6" s="17" t="s">
        <v>458</v>
      </c>
      <c r="I6" s="17" t="s">
        <v>27</v>
      </c>
      <c r="J6" s="17" t="s">
        <v>276</v>
      </c>
      <c r="K6" s="19" t="str">
        <f aca="false">"225,0"</f>
        <v>225,0</v>
      </c>
      <c r="L6" s="20" t="str">
        <f aca="false">"174,5689"</f>
        <v>174,5689</v>
      </c>
      <c r="M6" s="16"/>
    </row>
    <row r="7" s="2" customFormat="true" ht="13.2" hidden="false" customHeight="false" outlineLevel="0" collapsed="false">
      <c r="A7" s="1"/>
      <c r="E7" s="1"/>
      <c r="F7" s="1"/>
      <c r="K7" s="3"/>
      <c r="L7" s="4"/>
      <c r="M7" s="1"/>
    </row>
    <row r="8" customFormat="false" ht="15.6" hidden="false" customHeight="false" outlineLevel="0" collapsed="false">
      <c r="A8" s="21" t="s">
        <v>179</v>
      </c>
      <c r="B8" s="21"/>
      <c r="C8" s="21"/>
      <c r="D8" s="21"/>
      <c r="E8" s="21"/>
      <c r="F8" s="21"/>
      <c r="G8" s="21"/>
      <c r="H8" s="21"/>
      <c r="I8" s="21"/>
      <c r="J8" s="21"/>
    </row>
    <row r="9" customFormat="false" ht="13.2" hidden="false" customHeight="false" outlineLevel="0" collapsed="false">
      <c r="A9" s="16" t="s">
        <v>232</v>
      </c>
      <c r="B9" s="17" t="s">
        <v>293</v>
      </c>
      <c r="C9" s="17" t="s">
        <v>234</v>
      </c>
      <c r="D9" s="17" t="str">
        <f aca="false">"0,5563"</f>
        <v>0,5563</v>
      </c>
      <c r="E9" s="16" t="s">
        <v>16</v>
      </c>
      <c r="F9" s="16" t="s">
        <v>235</v>
      </c>
      <c r="G9" s="17" t="s">
        <v>403</v>
      </c>
      <c r="H9" s="17" t="s">
        <v>404</v>
      </c>
      <c r="I9" s="18" t="s">
        <v>406</v>
      </c>
      <c r="J9" s="18"/>
      <c r="K9" s="19" t="str">
        <f aca="false">"190,0"</f>
        <v>190,0</v>
      </c>
      <c r="L9" s="20" t="str">
        <f aca="false">"214,5649"</f>
        <v>214,5649</v>
      </c>
      <c r="M9" s="16"/>
    </row>
    <row r="11" customFormat="false" ht="15" hidden="false" customHeight="false" outlineLevel="0" collapsed="false">
      <c r="E11" s="22" t="s">
        <v>29</v>
      </c>
    </row>
    <row r="12" customFormat="false" ht="15" hidden="false" customHeight="false" outlineLevel="0" collapsed="false">
      <c r="E12" s="22" t="s">
        <v>30</v>
      </c>
    </row>
    <row r="13" customFormat="false" ht="15" hidden="false" customHeight="false" outlineLevel="0" collapsed="false">
      <c r="E13" s="22" t="s">
        <v>31</v>
      </c>
    </row>
    <row r="14" customFormat="false" ht="13.2" hidden="false" customHeight="false" outlineLevel="0" collapsed="false">
      <c r="E14" s="1" t="s">
        <v>32</v>
      </c>
    </row>
    <row r="15" customFormat="false" ht="13.2" hidden="false" customHeight="false" outlineLevel="0" collapsed="false">
      <c r="E15" s="1" t="s">
        <v>33</v>
      </c>
    </row>
    <row r="16" customFormat="false" ht="13.2" hidden="false" customHeight="false" outlineLevel="0" collapsed="false">
      <c r="E16" s="1" t="s">
        <v>34</v>
      </c>
    </row>
    <row r="19" customFormat="false" ht="17.4" hidden="false" customHeight="false" outlineLevel="0" collapsed="false">
      <c r="A19" s="23" t="s">
        <v>35</v>
      </c>
      <c r="B19" s="24"/>
    </row>
    <row r="20" customFormat="false" ht="15.6" hidden="false" customHeight="false" outlineLevel="0" collapsed="false">
      <c r="A20" s="25" t="s">
        <v>45</v>
      </c>
      <c r="B20" s="21"/>
    </row>
    <row r="21" customFormat="false" ht="14.4" hidden="false" customHeight="false" outlineLevel="0" collapsed="false">
      <c r="A21" s="26"/>
      <c r="B21" s="27" t="s">
        <v>37</v>
      </c>
    </row>
    <row r="22" customFormat="false" ht="13.8" hidden="false" customHeight="false" outlineLevel="0" collapsed="false">
      <c r="A22" s="28" t="s">
        <v>1</v>
      </c>
      <c r="B22" s="28" t="s">
        <v>38</v>
      </c>
      <c r="C22" s="28" t="s">
        <v>39</v>
      </c>
      <c r="D22" s="28" t="s">
        <v>40</v>
      </c>
      <c r="E22" s="28" t="s">
        <v>261</v>
      </c>
    </row>
    <row r="23" customFormat="false" ht="13.2" hidden="false" customHeight="false" outlineLevel="0" collapsed="false">
      <c r="A23" s="29" t="s">
        <v>244</v>
      </c>
      <c r="B23" s="2" t="s">
        <v>294</v>
      </c>
      <c r="C23" s="2" t="s">
        <v>191</v>
      </c>
      <c r="D23" s="2" t="s">
        <v>404</v>
      </c>
      <c r="E23" s="3" t="s">
        <v>711</v>
      </c>
    </row>
    <row r="24" customFormat="false" ht="13.2" hidden="false" customHeight="false" outlineLevel="0" collapsed="false">
      <c r="A24" s="29" t="s">
        <v>712</v>
      </c>
      <c r="B24" s="2" t="s">
        <v>42</v>
      </c>
      <c r="C24" s="2" t="s">
        <v>357</v>
      </c>
      <c r="D24" s="2" t="s">
        <v>27</v>
      </c>
      <c r="E24" s="3" t="s">
        <v>713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</mergeCells>
  <printOptions headings="false" gridLines="false" gridLinesSet="true" horizontalCentered="false" verticalCentered="false"/>
  <pageMargins left="0.196527777777778" right="0.472222222222222" top="0.433333333333333" bottom="0.472916666666667" header="0.511805555555555" footer="0.511805555555555"/>
  <pageSetup paperSize="1" scale="100" firstPageNumber="0" fitToWidth="1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&amp;R&amp;D&amp;T&amp;P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890625" defaultRowHeight="13.2" zeroHeight="false" outlineLevelRow="0" outlineLevelCol="0"/>
  <cols>
    <col collapsed="false" customWidth="true" hidden="false" outlineLevel="0" max="1" min="1" style="1" width="24.87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1" width="17"/>
    <col collapsed="false" customWidth="true" hidden="false" outlineLevel="0" max="6" min="6" style="1" width="23.66"/>
    <col collapsed="false" customWidth="true" hidden="false" outlineLevel="0" max="7" min="7" style="2" width="7.79"/>
    <col collapsed="false" customWidth="true" hidden="false" outlineLevel="0" max="8" min="8" style="2" width="4.56"/>
    <col collapsed="false" customWidth="true" hidden="false" outlineLevel="0" max="9" min="9" style="3" width="6.56"/>
    <col collapsed="false" customWidth="true" hidden="false" outlineLevel="0" max="10" min="10" style="4" width="9.56"/>
    <col collapsed="false" customWidth="true" hidden="false" outlineLevel="0" max="11" min="11" style="1" width="7.11"/>
    <col collapsed="false" customWidth="false" hidden="false" outlineLevel="0" max="1024" min="12" style="5" width="9.12"/>
  </cols>
  <sheetData>
    <row r="1" s="7" customFormat="true" ht="28.95" hidden="false" customHeight="true" outlineLevel="0" collapsed="false">
      <c r="A1" s="6" t="s">
        <v>66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1" t="s">
        <v>51</v>
      </c>
      <c r="H3" s="11"/>
      <c r="I3" s="10" t="s">
        <v>52</v>
      </c>
      <c r="J3" s="10" t="s">
        <v>9</v>
      </c>
      <c r="K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s">
        <v>53</v>
      </c>
      <c r="H4" s="14" t="s">
        <v>54</v>
      </c>
      <c r="I4" s="10"/>
      <c r="J4" s="10"/>
      <c r="K4" s="12"/>
    </row>
    <row r="5" s="2" customFormat="true" ht="15.6" hidden="false" customHeight="false" outlineLevel="0" collapsed="false">
      <c r="A5" s="15" t="s">
        <v>12</v>
      </c>
      <c r="B5" s="15"/>
      <c r="C5" s="15"/>
      <c r="D5" s="15"/>
      <c r="E5" s="15"/>
      <c r="F5" s="15"/>
      <c r="G5" s="15"/>
      <c r="H5" s="15"/>
      <c r="I5" s="3"/>
      <c r="J5" s="4"/>
      <c r="K5" s="1"/>
    </row>
    <row r="6" s="2" customFormat="true" ht="13.2" hidden="false" customHeight="false" outlineLevel="0" collapsed="false">
      <c r="A6" s="30" t="s">
        <v>67</v>
      </c>
      <c r="B6" s="31" t="s">
        <v>68</v>
      </c>
      <c r="C6" s="31" t="s">
        <v>69</v>
      </c>
      <c r="D6" s="31" t="str">
        <f aca="false">"0,7095"</f>
        <v>0,7095</v>
      </c>
      <c r="E6" s="30" t="s">
        <v>16</v>
      </c>
      <c r="F6" s="30" t="s">
        <v>17</v>
      </c>
      <c r="G6" s="31" t="s">
        <v>70</v>
      </c>
      <c r="H6" s="31" t="s">
        <v>71</v>
      </c>
      <c r="I6" s="32" t="str">
        <f aca="false">"1522,5"</f>
        <v>1522,5</v>
      </c>
      <c r="J6" s="33" t="str">
        <f aca="false">"1080,1376"</f>
        <v>1080,1376</v>
      </c>
      <c r="K6" s="30"/>
    </row>
    <row r="7" s="2" customFormat="true" ht="13.2" hidden="false" customHeight="false" outlineLevel="0" collapsed="false">
      <c r="A7" s="34" t="s">
        <v>72</v>
      </c>
      <c r="B7" s="35" t="s">
        <v>73</v>
      </c>
      <c r="C7" s="35" t="s">
        <v>74</v>
      </c>
      <c r="D7" s="35" t="str">
        <f aca="false">"0,6947"</f>
        <v>0,6947</v>
      </c>
      <c r="E7" s="34" t="s">
        <v>16</v>
      </c>
      <c r="F7" s="34" t="s">
        <v>75</v>
      </c>
      <c r="G7" s="35" t="s">
        <v>76</v>
      </c>
      <c r="H7" s="35" t="s">
        <v>77</v>
      </c>
      <c r="I7" s="36" t="str">
        <f aca="false">"900,0"</f>
        <v>900,0</v>
      </c>
      <c r="J7" s="37" t="str">
        <f aca="false">"888,4518"</f>
        <v>888,4518</v>
      </c>
      <c r="K7" s="34"/>
    </row>
    <row r="9" customFormat="false" ht="15.6" hidden="false" customHeight="false" outlineLevel="0" collapsed="false">
      <c r="A9" s="21" t="s">
        <v>78</v>
      </c>
      <c r="B9" s="21"/>
      <c r="C9" s="21"/>
      <c r="D9" s="21"/>
      <c r="E9" s="21"/>
      <c r="F9" s="21"/>
      <c r="G9" s="21"/>
      <c r="H9" s="21"/>
    </row>
    <row r="10" customFormat="false" ht="13.2" hidden="false" customHeight="false" outlineLevel="0" collapsed="false">
      <c r="A10" s="16" t="s">
        <v>79</v>
      </c>
      <c r="B10" s="17" t="s">
        <v>80</v>
      </c>
      <c r="C10" s="17" t="s">
        <v>81</v>
      </c>
      <c r="D10" s="17" t="str">
        <f aca="false">"0,6205"</f>
        <v>0,6205</v>
      </c>
      <c r="E10" s="16" t="s">
        <v>16</v>
      </c>
      <c r="F10" s="16" t="s">
        <v>17</v>
      </c>
      <c r="G10" s="17" t="s">
        <v>82</v>
      </c>
      <c r="H10" s="17" t="s">
        <v>83</v>
      </c>
      <c r="I10" s="19" t="str">
        <f aca="false">"1170,0"</f>
        <v>1170,0</v>
      </c>
      <c r="J10" s="20" t="str">
        <f aca="false">"845,7726"</f>
        <v>845,7726</v>
      </c>
      <c r="K10" s="16"/>
    </row>
    <row r="12" customFormat="false" ht="15.6" hidden="false" customHeight="false" outlineLevel="0" collapsed="false">
      <c r="A12" s="21" t="s">
        <v>21</v>
      </c>
      <c r="B12" s="21"/>
      <c r="C12" s="21"/>
      <c r="D12" s="21"/>
      <c r="E12" s="21"/>
      <c r="F12" s="21"/>
      <c r="G12" s="21"/>
      <c r="H12" s="21"/>
    </row>
    <row r="13" customFormat="false" ht="13.2" hidden="false" customHeight="false" outlineLevel="0" collapsed="false">
      <c r="A13" s="16" t="s">
        <v>84</v>
      </c>
      <c r="B13" s="17" t="s">
        <v>85</v>
      </c>
      <c r="C13" s="17" t="s">
        <v>86</v>
      </c>
      <c r="D13" s="17" t="str">
        <f aca="false">"0,5769"</f>
        <v>0,5769</v>
      </c>
      <c r="E13" s="16" t="s">
        <v>16</v>
      </c>
      <c r="F13" s="16" t="s">
        <v>87</v>
      </c>
      <c r="G13" s="17" t="s">
        <v>88</v>
      </c>
      <c r="H13" s="17" t="s">
        <v>89</v>
      </c>
      <c r="I13" s="19" t="str">
        <f aca="false">"1845,0"</f>
        <v>1845,0</v>
      </c>
      <c r="J13" s="20" t="str">
        <f aca="false">"1064,3805"</f>
        <v>1064,3805</v>
      </c>
      <c r="K13" s="16"/>
    </row>
    <row r="15" customFormat="false" ht="15" hidden="false" customHeight="false" outlineLevel="0" collapsed="false">
      <c r="E15" s="22" t="s">
        <v>29</v>
      </c>
    </row>
    <row r="16" customFormat="false" ht="15" hidden="false" customHeight="false" outlineLevel="0" collapsed="false">
      <c r="E16" s="22" t="s">
        <v>30</v>
      </c>
    </row>
    <row r="17" customFormat="false" ht="15" hidden="false" customHeight="false" outlineLevel="0" collapsed="false">
      <c r="E17" s="22" t="s">
        <v>31</v>
      </c>
    </row>
    <row r="18" customFormat="false" ht="13.2" hidden="false" customHeight="false" outlineLevel="0" collapsed="false">
      <c r="E18" s="1" t="s">
        <v>32</v>
      </c>
    </row>
    <row r="19" customFormat="false" ht="13.2" hidden="false" customHeight="false" outlineLevel="0" collapsed="false">
      <c r="E19" s="1" t="s">
        <v>33</v>
      </c>
    </row>
    <row r="20" customFormat="false" ht="13.2" hidden="false" customHeight="false" outlineLevel="0" collapsed="false">
      <c r="E20" s="1" t="s">
        <v>34</v>
      </c>
    </row>
    <row r="23" customFormat="false" ht="17.4" hidden="false" customHeight="false" outlineLevel="0" collapsed="false">
      <c r="A23" s="23" t="s">
        <v>35</v>
      </c>
      <c r="B23" s="24"/>
    </row>
    <row r="24" customFormat="false" ht="15.6" hidden="false" customHeight="false" outlineLevel="0" collapsed="false">
      <c r="A24" s="25" t="s">
        <v>45</v>
      </c>
      <c r="B24" s="21"/>
    </row>
    <row r="25" customFormat="false" ht="14.4" hidden="false" customHeight="false" outlineLevel="0" collapsed="false">
      <c r="A25" s="26"/>
      <c r="B25" s="27" t="s">
        <v>46</v>
      </c>
    </row>
    <row r="26" customFormat="false" ht="13.8" hidden="false" customHeight="false" outlineLevel="0" collapsed="false">
      <c r="A26" s="28" t="s">
        <v>1</v>
      </c>
      <c r="B26" s="28" t="s">
        <v>38</v>
      </c>
      <c r="C26" s="28" t="s">
        <v>39</v>
      </c>
      <c r="D26" s="28" t="s">
        <v>40</v>
      </c>
      <c r="E26" s="28" t="s">
        <v>4</v>
      </c>
    </row>
    <row r="27" customFormat="false" ht="13.2" hidden="false" customHeight="false" outlineLevel="0" collapsed="false">
      <c r="A27" s="29" t="s">
        <v>90</v>
      </c>
      <c r="B27" s="2" t="s">
        <v>46</v>
      </c>
      <c r="C27" s="2" t="s">
        <v>43</v>
      </c>
      <c r="D27" s="2" t="s">
        <v>91</v>
      </c>
      <c r="E27" s="3" t="s">
        <v>92</v>
      </c>
    </row>
    <row r="28" customFormat="false" ht="13.2" hidden="false" customHeight="false" outlineLevel="0" collapsed="false">
      <c r="A28" s="29" t="s">
        <v>93</v>
      </c>
      <c r="B28" s="2" t="s">
        <v>46</v>
      </c>
      <c r="C28" s="2" t="s">
        <v>48</v>
      </c>
      <c r="D28" s="2" t="s">
        <v>94</v>
      </c>
      <c r="E28" s="3" t="s">
        <v>95</v>
      </c>
    </row>
    <row r="30" customFormat="false" ht="14.4" hidden="false" customHeight="false" outlineLevel="0" collapsed="false">
      <c r="A30" s="26"/>
      <c r="B30" s="27" t="s">
        <v>37</v>
      </c>
    </row>
    <row r="31" customFormat="false" ht="13.8" hidden="false" customHeight="false" outlineLevel="0" collapsed="false">
      <c r="A31" s="28" t="s">
        <v>1</v>
      </c>
      <c r="B31" s="28" t="s">
        <v>38</v>
      </c>
      <c r="C31" s="28" t="s">
        <v>39</v>
      </c>
      <c r="D31" s="28" t="s">
        <v>40</v>
      </c>
      <c r="E31" s="28" t="s">
        <v>4</v>
      </c>
    </row>
    <row r="32" customFormat="false" ht="13.2" hidden="false" customHeight="false" outlineLevel="0" collapsed="false">
      <c r="A32" s="29" t="s">
        <v>96</v>
      </c>
      <c r="B32" s="2" t="s">
        <v>97</v>
      </c>
      <c r="C32" s="2" t="s">
        <v>43</v>
      </c>
      <c r="D32" s="2" t="s">
        <v>98</v>
      </c>
      <c r="E32" s="3" t="s">
        <v>99</v>
      </c>
    </row>
    <row r="33" customFormat="false" ht="13.2" hidden="false" customHeight="false" outlineLevel="0" collapsed="false">
      <c r="A33" s="29" t="s">
        <v>100</v>
      </c>
      <c r="B33" s="2" t="s">
        <v>101</v>
      </c>
      <c r="C33" s="2" t="s">
        <v>102</v>
      </c>
      <c r="D33" s="2" t="s">
        <v>103</v>
      </c>
      <c r="E33" s="3" t="s">
        <v>104</v>
      </c>
    </row>
  </sheetData>
  <mergeCells count="14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  <mergeCell ref="A9:H9"/>
    <mergeCell ref="A12:H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890625" defaultRowHeight="13.2" zeroHeight="false" outlineLevelRow="0" outlineLevelCol="0"/>
  <cols>
    <col collapsed="false" customWidth="true" hidden="false" outlineLevel="0" max="1" min="1" style="1" width="24.87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1" width="17"/>
    <col collapsed="false" customWidth="true" hidden="false" outlineLevel="0" max="6" min="6" style="1" width="23.66"/>
    <col collapsed="false" customWidth="true" hidden="false" outlineLevel="0" max="7" min="7" style="2" width="7.79"/>
    <col collapsed="false" customWidth="true" hidden="false" outlineLevel="0" max="8" min="8" style="2" width="4.56"/>
    <col collapsed="false" customWidth="true" hidden="false" outlineLevel="0" max="9" min="9" style="3" width="6.56"/>
    <col collapsed="false" customWidth="true" hidden="false" outlineLevel="0" max="10" min="10" style="4" width="9.56"/>
    <col collapsed="false" customWidth="true" hidden="false" outlineLevel="0" max="11" min="11" style="1" width="7.11"/>
    <col collapsed="false" customWidth="false" hidden="false" outlineLevel="0" max="1024" min="12" style="5" width="9.12"/>
  </cols>
  <sheetData>
    <row r="1" s="7" customFormat="true" ht="28.95" hidden="false" customHeight="true" outlineLevel="0" collapsed="false">
      <c r="A1" s="6" t="s">
        <v>105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1" t="s">
        <v>51</v>
      </c>
      <c r="H3" s="11"/>
      <c r="I3" s="10" t="s">
        <v>52</v>
      </c>
      <c r="J3" s="10" t="s">
        <v>9</v>
      </c>
      <c r="K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s">
        <v>53</v>
      </c>
      <c r="H4" s="14" t="s">
        <v>54</v>
      </c>
      <c r="I4" s="10"/>
      <c r="J4" s="10"/>
      <c r="K4" s="12"/>
    </row>
    <row r="5" s="2" customFormat="true" ht="15.6" hidden="false" customHeight="false" outlineLevel="0" collapsed="false">
      <c r="A5" s="15" t="s">
        <v>55</v>
      </c>
      <c r="B5" s="15"/>
      <c r="C5" s="15"/>
      <c r="D5" s="15"/>
      <c r="E5" s="15"/>
      <c r="F5" s="15"/>
      <c r="G5" s="15"/>
      <c r="H5" s="15"/>
      <c r="I5" s="3"/>
      <c r="J5" s="4"/>
      <c r="K5" s="1"/>
    </row>
    <row r="6" s="2" customFormat="true" ht="13.2" hidden="false" customHeight="false" outlineLevel="0" collapsed="false">
      <c r="A6" s="16" t="s">
        <v>106</v>
      </c>
      <c r="B6" s="17" t="s">
        <v>107</v>
      </c>
      <c r="C6" s="17" t="s">
        <v>108</v>
      </c>
      <c r="D6" s="17" t="str">
        <f aca="false">"1,1212"</f>
        <v>1,1212</v>
      </c>
      <c r="E6" s="16" t="s">
        <v>25</v>
      </c>
      <c r="F6" s="16" t="s">
        <v>17</v>
      </c>
      <c r="G6" s="17" t="s">
        <v>109</v>
      </c>
      <c r="H6" s="17" t="s">
        <v>71</v>
      </c>
      <c r="I6" s="19" t="str">
        <f aca="false">"1102,5"</f>
        <v>1102,5</v>
      </c>
      <c r="J6" s="20" t="str">
        <f aca="false">"1356,0269"</f>
        <v>1356,0269</v>
      </c>
      <c r="K6" s="16"/>
    </row>
    <row r="7" s="2" customFormat="true" ht="13.2" hidden="false" customHeight="false" outlineLevel="0" collapsed="false">
      <c r="A7" s="1"/>
      <c r="E7" s="1"/>
      <c r="F7" s="1"/>
      <c r="I7" s="3"/>
      <c r="J7" s="4"/>
      <c r="K7" s="1"/>
    </row>
    <row r="8" customFormat="false" ht="15.6" hidden="false" customHeight="false" outlineLevel="0" collapsed="false">
      <c r="A8" s="21" t="s">
        <v>12</v>
      </c>
      <c r="B8" s="21"/>
      <c r="C8" s="21"/>
      <c r="D8" s="21"/>
      <c r="E8" s="21"/>
      <c r="F8" s="21"/>
      <c r="G8" s="21"/>
      <c r="H8" s="21"/>
    </row>
    <row r="9" customFormat="false" ht="13.2" hidden="false" customHeight="false" outlineLevel="0" collapsed="false">
      <c r="A9" s="30" t="s">
        <v>110</v>
      </c>
      <c r="B9" s="31" t="s">
        <v>111</v>
      </c>
      <c r="C9" s="31" t="s">
        <v>112</v>
      </c>
      <c r="D9" s="31" t="str">
        <f aca="false">"0,7271"</f>
        <v>0,7271</v>
      </c>
      <c r="E9" s="30" t="s">
        <v>16</v>
      </c>
      <c r="F9" s="30" t="s">
        <v>75</v>
      </c>
      <c r="G9" s="31" t="s">
        <v>113</v>
      </c>
      <c r="H9" s="31" t="s">
        <v>114</v>
      </c>
      <c r="I9" s="32" t="str">
        <f aca="false">"3710,0"</f>
        <v>3710,0</v>
      </c>
      <c r="J9" s="33" t="str">
        <f aca="false">"2697,5411"</f>
        <v>2697,5411</v>
      </c>
      <c r="K9" s="30"/>
    </row>
    <row r="10" customFormat="false" ht="13.2" hidden="false" customHeight="false" outlineLevel="0" collapsed="false">
      <c r="A10" s="34" t="s">
        <v>115</v>
      </c>
      <c r="B10" s="35" t="s">
        <v>116</v>
      </c>
      <c r="C10" s="35" t="s">
        <v>117</v>
      </c>
      <c r="D10" s="35" t="str">
        <f aca="false">"0,6975"</f>
        <v>0,6975</v>
      </c>
      <c r="E10" s="34" t="s">
        <v>16</v>
      </c>
      <c r="F10" s="34" t="s">
        <v>118</v>
      </c>
      <c r="G10" s="35" t="s">
        <v>76</v>
      </c>
      <c r="H10" s="35" t="s">
        <v>119</v>
      </c>
      <c r="I10" s="36" t="str">
        <f aca="false">"1950,0"</f>
        <v>1950,0</v>
      </c>
      <c r="J10" s="37" t="str">
        <f aca="false">"1360,2225"</f>
        <v>1360,2225</v>
      </c>
      <c r="K10" s="34"/>
    </row>
    <row r="12" customFormat="false" ht="15" hidden="false" customHeight="false" outlineLevel="0" collapsed="false">
      <c r="E12" s="22" t="s">
        <v>29</v>
      </c>
    </row>
    <row r="13" customFormat="false" ht="15" hidden="false" customHeight="false" outlineLevel="0" collapsed="false">
      <c r="E13" s="22" t="s">
        <v>30</v>
      </c>
    </row>
    <row r="14" customFormat="false" ht="15" hidden="false" customHeight="false" outlineLevel="0" collapsed="false">
      <c r="E14" s="22" t="s">
        <v>31</v>
      </c>
    </row>
    <row r="15" customFormat="false" ht="13.2" hidden="false" customHeight="false" outlineLevel="0" collapsed="false">
      <c r="E15" s="1" t="s">
        <v>32</v>
      </c>
    </row>
    <row r="16" customFormat="false" ht="13.2" hidden="false" customHeight="false" outlineLevel="0" collapsed="false">
      <c r="E16" s="1" t="s">
        <v>33</v>
      </c>
    </row>
    <row r="17" customFormat="false" ht="13.2" hidden="false" customHeight="false" outlineLevel="0" collapsed="false">
      <c r="E17" s="1" t="s">
        <v>34</v>
      </c>
    </row>
    <row r="20" customFormat="false" ht="17.4" hidden="false" customHeight="false" outlineLevel="0" collapsed="false">
      <c r="A20" s="23" t="s">
        <v>35</v>
      </c>
      <c r="B20" s="24"/>
    </row>
    <row r="21" customFormat="false" ht="15.6" hidden="false" customHeight="false" outlineLevel="0" collapsed="false">
      <c r="A21" s="25" t="s">
        <v>36</v>
      </c>
      <c r="B21" s="21"/>
    </row>
    <row r="22" customFormat="false" ht="14.4" hidden="false" customHeight="false" outlineLevel="0" collapsed="false">
      <c r="A22" s="26"/>
      <c r="B22" s="27" t="s">
        <v>37</v>
      </c>
    </row>
    <row r="23" customFormat="false" ht="13.8" hidden="false" customHeight="false" outlineLevel="0" collapsed="false">
      <c r="A23" s="28" t="s">
        <v>1</v>
      </c>
      <c r="B23" s="28" t="s">
        <v>38</v>
      </c>
      <c r="C23" s="28" t="s">
        <v>39</v>
      </c>
      <c r="D23" s="28" t="s">
        <v>40</v>
      </c>
      <c r="E23" s="28" t="s">
        <v>4</v>
      </c>
    </row>
    <row r="24" customFormat="false" ht="13.2" hidden="false" customHeight="false" outlineLevel="0" collapsed="false">
      <c r="A24" s="29" t="s">
        <v>120</v>
      </c>
      <c r="B24" s="2" t="s">
        <v>121</v>
      </c>
      <c r="C24" s="2" t="s">
        <v>63</v>
      </c>
      <c r="D24" s="2" t="s">
        <v>122</v>
      </c>
      <c r="E24" s="3" t="s">
        <v>123</v>
      </c>
    </row>
    <row r="27" customFormat="false" ht="15.6" hidden="false" customHeight="false" outlineLevel="0" collapsed="false">
      <c r="A27" s="25" t="s">
        <v>45</v>
      </c>
      <c r="B27" s="21"/>
    </row>
    <row r="28" customFormat="false" ht="14.4" hidden="false" customHeight="false" outlineLevel="0" collapsed="false">
      <c r="A28" s="26"/>
      <c r="B28" s="27" t="s">
        <v>46</v>
      </c>
    </row>
    <row r="29" customFormat="false" ht="13.8" hidden="false" customHeight="false" outlineLevel="0" collapsed="false">
      <c r="A29" s="28" t="s">
        <v>1</v>
      </c>
      <c r="B29" s="28" t="s">
        <v>38</v>
      </c>
      <c r="C29" s="28" t="s">
        <v>39</v>
      </c>
      <c r="D29" s="28" t="s">
        <v>40</v>
      </c>
      <c r="E29" s="28" t="s">
        <v>4</v>
      </c>
    </row>
    <row r="30" customFormat="false" ht="13.2" hidden="false" customHeight="false" outlineLevel="0" collapsed="false">
      <c r="A30" s="29" t="s">
        <v>124</v>
      </c>
      <c r="B30" s="2" t="s">
        <v>46</v>
      </c>
      <c r="C30" s="2" t="s">
        <v>43</v>
      </c>
      <c r="D30" s="2" t="s">
        <v>125</v>
      </c>
      <c r="E30" s="3" t="s">
        <v>126</v>
      </c>
    </row>
    <row r="31" customFormat="false" ht="13.2" hidden="false" customHeight="false" outlineLevel="0" collapsed="false">
      <c r="A31" s="29" t="s">
        <v>127</v>
      </c>
      <c r="B31" s="2" t="s">
        <v>46</v>
      </c>
      <c r="C31" s="2" t="s">
        <v>43</v>
      </c>
      <c r="D31" s="2" t="s">
        <v>128</v>
      </c>
      <c r="E31" s="3" t="s">
        <v>129</v>
      </c>
    </row>
  </sheetData>
  <mergeCells count="13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  <mergeCell ref="A8:H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890625" defaultRowHeight="13.2" zeroHeight="false" outlineLevelRow="0" outlineLevelCol="0"/>
  <cols>
    <col collapsed="false" customWidth="true" hidden="false" outlineLevel="0" max="1" min="1" style="1" width="24.87"/>
    <col collapsed="false" customWidth="true" hidden="false" outlineLevel="0" max="2" min="2" style="2" width="24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1" width="17"/>
    <col collapsed="false" customWidth="true" hidden="false" outlineLevel="0" max="6" min="6" style="1" width="23.66"/>
    <col collapsed="false" customWidth="true" hidden="false" outlineLevel="0" max="7" min="7" style="2" width="4.56"/>
    <col collapsed="false" customWidth="true" hidden="false" outlineLevel="0" max="10" min="8" style="2" width="5.55"/>
    <col collapsed="false" customWidth="true" hidden="false" outlineLevel="0" max="11" min="11" style="3" width="5.78"/>
    <col collapsed="false" customWidth="true" hidden="false" outlineLevel="0" max="12" min="12" style="4" width="7.56"/>
    <col collapsed="false" customWidth="true" hidden="false" outlineLevel="0" max="13" min="13" style="1" width="7.11"/>
    <col collapsed="false" customWidth="false" hidden="false" outlineLevel="0" max="1024" min="14" style="5" width="9.12"/>
  </cols>
  <sheetData>
    <row r="1" s="7" customFormat="true" ht="28.95" hidden="false" customHeight="true" outlineLevel="0" collapsed="false">
      <c r="A1" s="6" t="s">
        <v>130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1" t="s">
        <v>131</v>
      </c>
      <c r="H3" s="11"/>
      <c r="I3" s="11"/>
      <c r="J3" s="11"/>
      <c r="K3" s="10" t="s">
        <v>8</v>
      </c>
      <c r="L3" s="10" t="s">
        <v>9</v>
      </c>
      <c r="M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0"/>
      <c r="L4" s="10"/>
      <c r="M4" s="12"/>
    </row>
    <row r="5" s="2" customFormat="true" ht="15.6" hidden="false" customHeight="false" outlineLevel="0" collapsed="false">
      <c r="A5" s="15" t="s">
        <v>132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4"/>
      <c r="M5" s="1"/>
    </row>
    <row r="6" s="2" customFormat="true" ht="13.2" hidden="false" customHeight="false" outlineLevel="0" collapsed="false">
      <c r="A6" s="16" t="s">
        <v>133</v>
      </c>
      <c r="B6" s="17" t="s">
        <v>134</v>
      </c>
      <c r="C6" s="17" t="s">
        <v>135</v>
      </c>
      <c r="D6" s="17" t="str">
        <f aca="false">"0,9244"</f>
        <v>0,9244</v>
      </c>
      <c r="E6" s="16" t="s">
        <v>136</v>
      </c>
      <c r="F6" s="16" t="s">
        <v>17</v>
      </c>
      <c r="G6" s="17" t="s">
        <v>137</v>
      </c>
      <c r="H6" s="17" t="s">
        <v>138</v>
      </c>
      <c r="I6" s="18" t="s">
        <v>139</v>
      </c>
      <c r="J6" s="18"/>
      <c r="K6" s="19" t="str">
        <f aca="false">"60,0"</f>
        <v>60,0</v>
      </c>
      <c r="L6" s="20" t="str">
        <f aca="false">"55,4640"</f>
        <v>55,4640</v>
      </c>
      <c r="M6" s="16"/>
    </row>
    <row r="7" s="2" customFormat="true" ht="13.2" hidden="false" customHeight="false" outlineLevel="0" collapsed="false">
      <c r="A7" s="1"/>
      <c r="E7" s="1"/>
      <c r="F7" s="1"/>
      <c r="K7" s="3"/>
      <c r="L7" s="4"/>
      <c r="M7" s="1"/>
    </row>
    <row r="8" customFormat="false" ht="15.6" hidden="false" customHeight="false" outlineLevel="0" collapsed="false">
      <c r="A8" s="21" t="s">
        <v>132</v>
      </c>
      <c r="B8" s="21"/>
      <c r="C8" s="21"/>
      <c r="D8" s="21"/>
      <c r="E8" s="21"/>
      <c r="F8" s="21"/>
      <c r="G8" s="21"/>
      <c r="H8" s="21"/>
      <c r="I8" s="21"/>
      <c r="J8" s="21"/>
    </row>
    <row r="9" customFormat="false" ht="13.2" hidden="false" customHeight="false" outlineLevel="0" collapsed="false">
      <c r="A9" s="30" t="s">
        <v>140</v>
      </c>
      <c r="B9" s="31" t="s">
        <v>141</v>
      </c>
      <c r="C9" s="31" t="s">
        <v>142</v>
      </c>
      <c r="D9" s="31" t="str">
        <f aca="false">"0,7340"</f>
        <v>0,7340</v>
      </c>
      <c r="E9" s="30" t="s">
        <v>136</v>
      </c>
      <c r="F9" s="30" t="s">
        <v>17</v>
      </c>
      <c r="G9" s="31" t="s">
        <v>113</v>
      </c>
      <c r="H9" s="31" t="s">
        <v>143</v>
      </c>
      <c r="I9" s="31" t="s">
        <v>82</v>
      </c>
      <c r="J9" s="38" t="s">
        <v>144</v>
      </c>
      <c r="K9" s="32" t="str">
        <f aca="false">"90,0"</f>
        <v>90,0</v>
      </c>
      <c r="L9" s="33" t="str">
        <f aca="false">"66,0555"</f>
        <v>66,0555</v>
      </c>
      <c r="M9" s="30"/>
    </row>
    <row r="10" customFormat="false" ht="13.2" hidden="false" customHeight="false" outlineLevel="0" collapsed="false">
      <c r="A10" s="39" t="s">
        <v>145</v>
      </c>
      <c r="B10" s="40" t="s">
        <v>146</v>
      </c>
      <c r="C10" s="40" t="s">
        <v>147</v>
      </c>
      <c r="D10" s="40" t="str">
        <f aca="false">"0,8467"</f>
        <v>0,8467</v>
      </c>
      <c r="E10" s="39" t="s">
        <v>136</v>
      </c>
      <c r="F10" s="39" t="s">
        <v>17</v>
      </c>
      <c r="G10" s="40" t="s">
        <v>113</v>
      </c>
      <c r="H10" s="41" t="s">
        <v>143</v>
      </c>
      <c r="I10" s="41"/>
      <c r="J10" s="41"/>
      <c r="K10" s="42" t="str">
        <f aca="false">"70,0"</f>
        <v>70,0</v>
      </c>
      <c r="L10" s="43" t="str">
        <f aca="false">"59,2655"</f>
        <v>59,2655</v>
      </c>
      <c r="M10" s="39"/>
    </row>
    <row r="11" customFormat="false" ht="13.2" hidden="false" customHeight="false" outlineLevel="0" collapsed="false">
      <c r="A11" s="39" t="s">
        <v>148</v>
      </c>
      <c r="B11" s="40" t="s">
        <v>149</v>
      </c>
      <c r="C11" s="40" t="s">
        <v>150</v>
      </c>
      <c r="D11" s="40" t="str">
        <f aca="false">"0,7314"</f>
        <v>0,7314</v>
      </c>
      <c r="E11" s="39" t="s">
        <v>16</v>
      </c>
      <c r="F11" s="39" t="s">
        <v>17</v>
      </c>
      <c r="G11" s="40" t="s">
        <v>138</v>
      </c>
      <c r="H11" s="40" t="s">
        <v>113</v>
      </c>
      <c r="I11" s="41" t="s">
        <v>143</v>
      </c>
      <c r="J11" s="41"/>
      <c r="K11" s="42" t="str">
        <f aca="false">"70,0"</f>
        <v>70,0</v>
      </c>
      <c r="L11" s="43" t="str">
        <f aca="false">"51,1945"</f>
        <v>51,1945</v>
      </c>
      <c r="M11" s="39"/>
    </row>
    <row r="12" customFormat="false" ht="13.2" hidden="false" customHeight="false" outlineLevel="0" collapsed="false">
      <c r="A12" s="39" t="s">
        <v>110</v>
      </c>
      <c r="B12" s="40" t="s">
        <v>151</v>
      </c>
      <c r="C12" s="40" t="s">
        <v>112</v>
      </c>
      <c r="D12" s="40" t="str">
        <f aca="false">"0,7271"</f>
        <v>0,7271</v>
      </c>
      <c r="E12" s="39" t="s">
        <v>16</v>
      </c>
      <c r="F12" s="39" t="s">
        <v>75</v>
      </c>
      <c r="G12" s="40" t="s">
        <v>138</v>
      </c>
      <c r="H12" s="40" t="s">
        <v>113</v>
      </c>
      <c r="I12" s="41" t="s">
        <v>143</v>
      </c>
      <c r="J12" s="41"/>
      <c r="K12" s="42" t="str">
        <f aca="false">"70,0"</f>
        <v>70,0</v>
      </c>
      <c r="L12" s="43" t="str">
        <f aca="false">"51,9149"</f>
        <v>51,9149</v>
      </c>
      <c r="M12" s="39"/>
    </row>
    <row r="13" customFormat="false" ht="13.2" hidden="false" customHeight="false" outlineLevel="0" collapsed="false">
      <c r="A13" s="34" t="s">
        <v>152</v>
      </c>
      <c r="B13" s="35" t="s">
        <v>153</v>
      </c>
      <c r="C13" s="35" t="s">
        <v>112</v>
      </c>
      <c r="D13" s="35" t="str">
        <f aca="false">"0,7271"</f>
        <v>0,7271</v>
      </c>
      <c r="E13" s="34" t="s">
        <v>136</v>
      </c>
      <c r="F13" s="34" t="s">
        <v>17</v>
      </c>
      <c r="G13" s="35" t="s">
        <v>139</v>
      </c>
      <c r="H13" s="44" t="s">
        <v>143</v>
      </c>
      <c r="I13" s="44"/>
      <c r="J13" s="44"/>
      <c r="K13" s="36" t="str">
        <f aca="false">"65,0"</f>
        <v>65,0</v>
      </c>
      <c r="L13" s="37" t="str">
        <f aca="false">"48,2067"</f>
        <v>48,2067</v>
      </c>
      <c r="M13" s="34"/>
    </row>
    <row r="15" customFormat="false" ht="15.6" hidden="false" customHeight="false" outlineLevel="0" collapsed="false">
      <c r="A15" s="21" t="s">
        <v>154</v>
      </c>
      <c r="B15" s="21"/>
      <c r="C15" s="21"/>
      <c r="D15" s="21"/>
      <c r="E15" s="21"/>
      <c r="F15" s="21"/>
      <c r="G15" s="21"/>
      <c r="H15" s="21"/>
      <c r="I15" s="21"/>
      <c r="J15" s="21"/>
    </row>
    <row r="16" customFormat="false" ht="13.2" hidden="false" customHeight="false" outlineLevel="0" collapsed="false">
      <c r="A16" s="30" t="s">
        <v>155</v>
      </c>
      <c r="B16" s="31" t="s">
        <v>156</v>
      </c>
      <c r="C16" s="31" t="s">
        <v>157</v>
      </c>
      <c r="D16" s="31" t="str">
        <f aca="false">"0,6885"</f>
        <v>0,6885</v>
      </c>
      <c r="E16" s="30" t="s">
        <v>16</v>
      </c>
      <c r="F16" s="30" t="s">
        <v>59</v>
      </c>
      <c r="G16" s="31" t="s">
        <v>113</v>
      </c>
      <c r="H16" s="31" t="s">
        <v>158</v>
      </c>
      <c r="I16" s="38"/>
      <c r="J16" s="38"/>
      <c r="K16" s="32" t="str">
        <f aca="false">"85,0"</f>
        <v>85,0</v>
      </c>
      <c r="L16" s="33" t="str">
        <f aca="false">"58,5267"</f>
        <v>58,5267</v>
      </c>
      <c r="M16" s="30"/>
    </row>
    <row r="17" customFormat="false" ht="13.2" hidden="false" customHeight="false" outlineLevel="0" collapsed="false">
      <c r="A17" s="39" t="s">
        <v>159</v>
      </c>
      <c r="B17" s="40" t="s">
        <v>160</v>
      </c>
      <c r="C17" s="40" t="s">
        <v>161</v>
      </c>
      <c r="D17" s="40" t="str">
        <f aca="false">"0,6892"</f>
        <v>0,6892</v>
      </c>
      <c r="E17" s="39" t="s">
        <v>136</v>
      </c>
      <c r="F17" s="39" t="s">
        <v>17</v>
      </c>
      <c r="G17" s="40" t="s">
        <v>113</v>
      </c>
      <c r="H17" s="40" t="s">
        <v>143</v>
      </c>
      <c r="I17" s="41" t="s">
        <v>82</v>
      </c>
      <c r="J17" s="41"/>
      <c r="K17" s="42" t="str">
        <f aca="false">"80,0"</f>
        <v>80,0</v>
      </c>
      <c r="L17" s="43" t="str">
        <f aca="false">"55,1360"</f>
        <v>55,1360</v>
      </c>
      <c r="M17" s="39"/>
    </row>
    <row r="18" customFormat="false" ht="13.2" hidden="false" customHeight="false" outlineLevel="0" collapsed="false">
      <c r="A18" s="39" t="s">
        <v>162</v>
      </c>
      <c r="B18" s="40" t="s">
        <v>163</v>
      </c>
      <c r="C18" s="40" t="s">
        <v>164</v>
      </c>
      <c r="D18" s="40" t="str">
        <f aca="false">"0,6694"</f>
        <v>0,6694</v>
      </c>
      <c r="E18" s="39" t="s">
        <v>136</v>
      </c>
      <c r="F18" s="39" t="s">
        <v>17</v>
      </c>
      <c r="G18" s="40" t="s">
        <v>113</v>
      </c>
      <c r="H18" s="40" t="s">
        <v>143</v>
      </c>
      <c r="I18" s="41" t="s">
        <v>82</v>
      </c>
      <c r="J18" s="41"/>
      <c r="K18" s="42" t="str">
        <f aca="false">"80,0"</f>
        <v>80,0</v>
      </c>
      <c r="L18" s="43" t="str">
        <f aca="false">"53,5480"</f>
        <v>53,5480</v>
      </c>
      <c r="M18" s="39"/>
    </row>
    <row r="19" customFormat="false" ht="13.2" hidden="false" customHeight="false" outlineLevel="0" collapsed="false">
      <c r="A19" s="39" t="s">
        <v>165</v>
      </c>
      <c r="B19" s="40" t="s">
        <v>166</v>
      </c>
      <c r="C19" s="40" t="s">
        <v>167</v>
      </c>
      <c r="D19" s="40" t="str">
        <f aca="false">"0,6724"</f>
        <v>0,6724</v>
      </c>
      <c r="E19" s="39" t="s">
        <v>136</v>
      </c>
      <c r="F19" s="39" t="s">
        <v>17</v>
      </c>
      <c r="G19" s="40" t="s">
        <v>143</v>
      </c>
      <c r="H19" s="40" t="s">
        <v>82</v>
      </c>
      <c r="I19" s="41"/>
      <c r="J19" s="41"/>
      <c r="K19" s="42" t="str">
        <f aca="false">"90,0"</f>
        <v>90,0</v>
      </c>
      <c r="L19" s="43" t="str">
        <f aca="false">"60,5160"</f>
        <v>60,5160</v>
      </c>
      <c r="M19" s="39"/>
    </row>
    <row r="20" customFormat="false" ht="13.2" hidden="false" customHeight="false" outlineLevel="0" collapsed="false">
      <c r="A20" s="39" t="s">
        <v>168</v>
      </c>
      <c r="B20" s="40" t="s">
        <v>169</v>
      </c>
      <c r="C20" s="40" t="s">
        <v>157</v>
      </c>
      <c r="D20" s="40" t="str">
        <f aca="false">"0,6885"</f>
        <v>0,6885</v>
      </c>
      <c r="E20" s="39" t="s">
        <v>16</v>
      </c>
      <c r="F20" s="39" t="s">
        <v>59</v>
      </c>
      <c r="G20" s="40" t="s">
        <v>113</v>
      </c>
      <c r="H20" s="40" t="s">
        <v>158</v>
      </c>
      <c r="I20" s="41"/>
      <c r="J20" s="41"/>
      <c r="K20" s="42" t="str">
        <f aca="false">"85,0"</f>
        <v>85,0</v>
      </c>
      <c r="L20" s="43" t="str">
        <f aca="false">"58,5267"</f>
        <v>58,5267</v>
      </c>
      <c r="M20" s="39"/>
    </row>
    <row r="21" customFormat="false" ht="13.2" hidden="false" customHeight="false" outlineLevel="0" collapsed="false">
      <c r="A21" s="34" t="s">
        <v>72</v>
      </c>
      <c r="B21" s="35" t="s">
        <v>170</v>
      </c>
      <c r="C21" s="35" t="s">
        <v>74</v>
      </c>
      <c r="D21" s="35" t="str">
        <f aca="false">"0,6947"</f>
        <v>0,6947</v>
      </c>
      <c r="E21" s="34" t="s">
        <v>16</v>
      </c>
      <c r="F21" s="34" t="s">
        <v>75</v>
      </c>
      <c r="G21" s="35" t="s">
        <v>171</v>
      </c>
      <c r="H21" s="35" t="s">
        <v>172</v>
      </c>
      <c r="I21" s="35" t="s">
        <v>137</v>
      </c>
      <c r="J21" s="44" t="s">
        <v>143</v>
      </c>
      <c r="K21" s="36" t="str">
        <f aca="false">"55,0"</f>
        <v>55,0</v>
      </c>
      <c r="L21" s="37" t="str">
        <f aca="false">"54,2943"</f>
        <v>54,2943</v>
      </c>
      <c r="M21" s="34"/>
    </row>
    <row r="23" customFormat="false" ht="15.6" hidden="false" customHeight="false" outlineLevel="0" collapsed="false">
      <c r="A23" s="21" t="s">
        <v>78</v>
      </c>
      <c r="B23" s="21"/>
      <c r="C23" s="21"/>
      <c r="D23" s="21"/>
      <c r="E23" s="21"/>
      <c r="F23" s="21"/>
      <c r="G23" s="21"/>
      <c r="H23" s="21"/>
      <c r="I23" s="21"/>
      <c r="J23" s="21"/>
    </row>
    <row r="24" customFormat="false" ht="13.2" hidden="false" customHeight="false" outlineLevel="0" collapsed="false">
      <c r="A24" s="30" t="s">
        <v>173</v>
      </c>
      <c r="B24" s="31" t="s">
        <v>174</v>
      </c>
      <c r="C24" s="31" t="s">
        <v>175</v>
      </c>
      <c r="D24" s="31" t="str">
        <f aca="false">"0,6487"</f>
        <v>0,6487</v>
      </c>
      <c r="E24" s="30" t="s">
        <v>136</v>
      </c>
      <c r="F24" s="30" t="s">
        <v>17</v>
      </c>
      <c r="G24" s="31" t="s">
        <v>76</v>
      </c>
      <c r="H24" s="31" t="s">
        <v>158</v>
      </c>
      <c r="I24" s="31" t="s">
        <v>144</v>
      </c>
      <c r="J24" s="38" t="s">
        <v>18</v>
      </c>
      <c r="K24" s="32" t="str">
        <f aca="false">"95,0"</f>
        <v>95,0</v>
      </c>
      <c r="L24" s="33" t="str">
        <f aca="false">"61,6265"</f>
        <v>61,6265</v>
      </c>
      <c r="M24" s="30"/>
    </row>
    <row r="25" customFormat="false" ht="13.2" hidden="false" customHeight="false" outlineLevel="0" collapsed="false">
      <c r="A25" s="34" t="s">
        <v>176</v>
      </c>
      <c r="B25" s="35" t="s">
        <v>177</v>
      </c>
      <c r="C25" s="35" t="s">
        <v>178</v>
      </c>
      <c r="D25" s="35" t="str">
        <f aca="false">"0,6169"</f>
        <v>0,6169</v>
      </c>
      <c r="E25" s="34" t="s">
        <v>16</v>
      </c>
      <c r="F25" s="34" t="s">
        <v>17</v>
      </c>
      <c r="G25" s="35" t="s">
        <v>158</v>
      </c>
      <c r="H25" s="44" t="s">
        <v>144</v>
      </c>
      <c r="I25" s="44"/>
      <c r="J25" s="44"/>
      <c r="K25" s="36" t="str">
        <f aca="false">"85,0"</f>
        <v>85,0</v>
      </c>
      <c r="L25" s="37" t="str">
        <f aca="false">"52,4323"</f>
        <v>52,4323</v>
      </c>
      <c r="M25" s="34"/>
    </row>
    <row r="27" customFormat="false" ht="15.6" hidden="false" customHeight="false" outlineLevel="0" collapsed="false">
      <c r="A27" s="21" t="s">
        <v>179</v>
      </c>
      <c r="B27" s="21"/>
      <c r="C27" s="21"/>
      <c r="D27" s="21"/>
      <c r="E27" s="21"/>
      <c r="F27" s="21"/>
      <c r="G27" s="21"/>
      <c r="H27" s="21"/>
      <c r="I27" s="21"/>
      <c r="J27" s="21"/>
    </row>
    <row r="28" customFormat="false" ht="13.2" hidden="false" customHeight="false" outlineLevel="0" collapsed="false">
      <c r="A28" s="16" t="s">
        <v>180</v>
      </c>
      <c r="B28" s="17" t="s">
        <v>181</v>
      </c>
      <c r="C28" s="17" t="s">
        <v>182</v>
      </c>
      <c r="D28" s="17" t="str">
        <f aca="false">"0,5987"</f>
        <v>0,5987</v>
      </c>
      <c r="E28" s="16" t="s">
        <v>136</v>
      </c>
      <c r="F28" s="16" t="s">
        <v>17</v>
      </c>
      <c r="G28" s="17" t="s">
        <v>82</v>
      </c>
      <c r="H28" s="17" t="s">
        <v>18</v>
      </c>
      <c r="I28" s="17" t="s">
        <v>183</v>
      </c>
      <c r="J28" s="17" t="s">
        <v>19</v>
      </c>
      <c r="K28" s="19" t="str">
        <f aca="false">"110,0"</f>
        <v>110,0</v>
      </c>
      <c r="L28" s="20" t="str">
        <f aca="false">"65,8570"</f>
        <v>65,8570</v>
      </c>
      <c r="M28" s="16"/>
    </row>
    <row r="30" customFormat="false" ht="15" hidden="false" customHeight="false" outlineLevel="0" collapsed="false">
      <c r="E30" s="22" t="s">
        <v>29</v>
      </c>
    </row>
    <row r="31" customFormat="false" ht="15" hidden="false" customHeight="false" outlineLevel="0" collapsed="false">
      <c r="E31" s="22" t="s">
        <v>30</v>
      </c>
    </row>
    <row r="32" customFormat="false" ht="15" hidden="false" customHeight="false" outlineLevel="0" collapsed="false">
      <c r="E32" s="22" t="s">
        <v>31</v>
      </c>
    </row>
    <row r="33" customFormat="false" ht="13.2" hidden="false" customHeight="false" outlineLevel="0" collapsed="false">
      <c r="E33" s="1" t="s">
        <v>32</v>
      </c>
    </row>
    <row r="34" customFormat="false" ht="13.2" hidden="false" customHeight="false" outlineLevel="0" collapsed="false">
      <c r="E34" s="1" t="s">
        <v>33</v>
      </c>
    </row>
    <row r="35" customFormat="false" ht="13.2" hidden="false" customHeight="false" outlineLevel="0" collapsed="false">
      <c r="E35" s="1" t="s">
        <v>34</v>
      </c>
    </row>
    <row r="38" customFormat="false" ht="17.4" hidden="false" customHeight="false" outlineLevel="0" collapsed="false">
      <c r="A38" s="23" t="s">
        <v>35</v>
      </c>
      <c r="B38" s="24"/>
    </row>
    <row r="39" customFormat="false" ht="15.6" hidden="false" customHeight="false" outlineLevel="0" collapsed="false">
      <c r="A39" s="25" t="s">
        <v>36</v>
      </c>
      <c r="B39" s="21"/>
    </row>
    <row r="40" customFormat="false" ht="14.4" hidden="false" customHeight="false" outlineLevel="0" collapsed="false">
      <c r="A40" s="26"/>
      <c r="B40" s="27" t="s">
        <v>46</v>
      </c>
    </row>
    <row r="41" customFormat="false" ht="13.8" hidden="false" customHeight="false" outlineLevel="0" collapsed="false">
      <c r="A41" s="28" t="s">
        <v>1</v>
      </c>
      <c r="B41" s="28" t="s">
        <v>38</v>
      </c>
      <c r="C41" s="28" t="s">
        <v>39</v>
      </c>
      <c r="D41" s="28" t="s">
        <v>40</v>
      </c>
      <c r="E41" s="28" t="s">
        <v>4</v>
      </c>
    </row>
    <row r="42" customFormat="false" ht="13.2" hidden="false" customHeight="false" outlineLevel="0" collapsed="false">
      <c r="A42" s="29" t="s">
        <v>184</v>
      </c>
      <c r="B42" s="2" t="s">
        <v>46</v>
      </c>
      <c r="C42" s="2" t="s">
        <v>185</v>
      </c>
      <c r="D42" s="2" t="s">
        <v>138</v>
      </c>
      <c r="E42" s="3" t="s">
        <v>186</v>
      </c>
    </row>
    <row r="45" customFormat="false" ht="15.6" hidden="false" customHeight="false" outlineLevel="0" collapsed="false">
      <c r="A45" s="25" t="s">
        <v>45</v>
      </c>
      <c r="B45" s="21"/>
    </row>
    <row r="46" customFormat="false" ht="14.4" hidden="false" customHeight="false" outlineLevel="0" collapsed="false">
      <c r="A46" s="26"/>
      <c r="B46" s="27" t="s">
        <v>187</v>
      </c>
    </row>
    <row r="47" customFormat="false" ht="13.8" hidden="false" customHeight="false" outlineLevel="0" collapsed="false">
      <c r="A47" s="28" t="s">
        <v>1</v>
      </c>
      <c r="B47" s="28" t="s">
        <v>38</v>
      </c>
      <c r="C47" s="28" t="s">
        <v>39</v>
      </c>
      <c r="D47" s="28" t="s">
        <v>40</v>
      </c>
      <c r="E47" s="28" t="s">
        <v>4</v>
      </c>
    </row>
    <row r="48" customFormat="false" ht="13.2" hidden="false" customHeight="false" outlineLevel="0" collapsed="false">
      <c r="A48" s="29" t="s">
        <v>188</v>
      </c>
      <c r="B48" s="2" t="s">
        <v>187</v>
      </c>
      <c r="C48" s="2" t="s">
        <v>185</v>
      </c>
      <c r="D48" s="2" t="s">
        <v>82</v>
      </c>
      <c r="E48" s="3" t="s">
        <v>189</v>
      </c>
    </row>
    <row r="49" customFormat="false" ht="13.2" hidden="false" customHeight="false" outlineLevel="0" collapsed="false">
      <c r="A49" s="29" t="s">
        <v>190</v>
      </c>
      <c r="B49" s="2" t="s">
        <v>187</v>
      </c>
      <c r="C49" s="2" t="s">
        <v>191</v>
      </c>
      <c r="D49" s="2" t="s">
        <v>19</v>
      </c>
      <c r="E49" s="3" t="s">
        <v>192</v>
      </c>
    </row>
    <row r="50" customFormat="false" ht="13.2" hidden="false" customHeight="false" outlineLevel="0" collapsed="false">
      <c r="A50" s="29" t="s">
        <v>193</v>
      </c>
      <c r="B50" s="2" t="s">
        <v>187</v>
      </c>
      <c r="C50" s="2" t="s">
        <v>185</v>
      </c>
      <c r="D50" s="2" t="s">
        <v>113</v>
      </c>
      <c r="E50" s="3" t="s">
        <v>194</v>
      </c>
    </row>
    <row r="51" customFormat="false" ht="13.2" hidden="false" customHeight="false" outlineLevel="0" collapsed="false">
      <c r="A51" s="29" t="s">
        <v>195</v>
      </c>
      <c r="B51" s="2" t="s">
        <v>187</v>
      </c>
      <c r="C51" s="2" t="s">
        <v>196</v>
      </c>
      <c r="D51" s="2" t="s">
        <v>158</v>
      </c>
      <c r="E51" s="3" t="s">
        <v>197</v>
      </c>
    </row>
    <row r="52" customFormat="false" ht="13.2" hidden="false" customHeight="false" outlineLevel="0" collapsed="false">
      <c r="A52" s="29" t="s">
        <v>198</v>
      </c>
      <c r="B52" s="2" t="s">
        <v>187</v>
      </c>
      <c r="C52" s="2" t="s">
        <v>196</v>
      </c>
      <c r="D52" s="2" t="s">
        <v>143</v>
      </c>
      <c r="E52" s="3" t="s">
        <v>199</v>
      </c>
    </row>
    <row r="53" customFormat="false" ht="13.2" hidden="false" customHeight="false" outlineLevel="0" collapsed="false">
      <c r="A53" s="29" t="s">
        <v>200</v>
      </c>
      <c r="B53" s="2" t="s">
        <v>187</v>
      </c>
      <c r="C53" s="2" t="s">
        <v>196</v>
      </c>
      <c r="D53" s="2" t="s">
        <v>143</v>
      </c>
      <c r="E53" s="3" t="s">
        <v>201</v>
      </c>
    </row>
    <row r="55" customFormat="false" ht="14.4" hidden="false" customHeight="false" outlineLevel="0" collapsed="false">
      <c r="A55" s="26"/>
      <c r="B55" s="27" t="s">
        <v>46</v>
      </c>
    </row>
    <row r="56" customFormat="false" ht="13.8" hidden="false" customHeight="false" outlineLevel="0" collapsed="false">
      <c r="A56" s="28" t="s">
        <v>1</v>
      </c>
      <c r="B56" s="28" t="s">
        <v>38</v>
      </c>
      <c r="C56" s="28" t="s">
        <v>39</v>
      </c>
      <c r="D56" s="28" t="s">
        <v>40</v>
      </c>
      <c r="E56" s="28" t="s">
        <v>4</v>
      </c>
    </row>
    <row r="57" customFormat="false" ht="13.2" hidden="false" customHeight="false" outlineLevel="0" collapsed="false">
      <c r="A57" s="29" t="s">
        <v>202</v>
      </c>
      <c r="B57" s="2" t="s">
        <v>46</v>
      </c>
      <c r="C57" s="2" t="s">
        <v>102</v>
      </c>
      <c r="D57" s="2" t="s">
        <v>144</v>
      </c>
      <c r="E57" s="3" t="s">
        <v>203</v>
      </c>
    </row>
    <row r="58" customFormat="false" ht="13.2" hidden="false" customHeight="false" outlineLevel="0" collapsed="false">
      <c r="A58" s="29" t="s">
        <v>204</v>
      </c>
      <c r="B58" s="2" t="s">
        <v>46</v>
      </c>
      <c r="C58" s="2" t="s">
        <v>196</v>
      </c>
      <c r="D58" s="2" t="s">
        <v>82</v>
      </c>
      <c r="E58" s="3" t="s">
        <v>205</v>
      </c>
    </row>
    <row r="59" customFormat="false" ht="13.2" hidden="false" customHeight="false" outlineLevel="0" collapsed="false">
      <c r="A59" s="29" t="s">
        <v>195</v>
      </c>
      <c r="B59" s="2" t="s">
        <v>46</v>
      </c>
      <c r="C59" s="2" t="s">
        <v>196</v>
      </c>
      <c r="D59" s="2" t="s">
        <v>158</v>
      </c>
      <c r="E59" s="3" t="s">
        <v>197</v>
      </c>
    </row>
    <row r="60" customFormat="false" ht="13.2" hidden="false" customHeight="false" outlineLevel="0" collapsed="false">
      <c r="A60" s="29" t="s">
        <v>206</v>
      </c>
      <c r="B60" s="2" t="s">
        <v>46</v>
      </c>
      <c r="C60" s="2" t="s">
        <v>102</v>
      </c>
      <c r="D60" s="2" t="s">
        <v>158</v>
      </c>
      <c r="E60" s="3" t="s">
        <v>207</v>
      </c>
    </row>
    <row r="61" customFormat="false" ht="13.2" hidden="false" customHeight="false" outlineLevel="0" collapsed="false">
      <c r="A61" s="29" t="s">
        <v>208</v>
      </c>
      <c r="B61" s="2" t="s">
        <v>46</v>
      </c>
      <c r="C61" s="2" t="s">
        <v>185</v>
      </c>
      <c r="D61" s="2" t="s">
        <v>113</v>
      </c>
      <c r="E61" s="3" t="s">
        <v>209</v>
      </c>
    </row>
    <row r="63" customFormat="false" ht="14.4" hidden="false" customHeight="false" outlineLevel="0" collapsed="false">
      <c r="A63" s="26"/>
      <c r="B63" s="27" t="s">
        <v>210</v>
      </c>
    </row>
    <row r="64" customFormat="false" ht="13.8" hidden="false" customHeight="false" outlineLevel="0" collapsed="false">
      <c r="A64" s="28" t="s">
        <v>1</v>
      </c>
      <c r="B64" s="28" t="s">
        <v>38</v>
      </c>
      <c r="C64" s="28" t="s">
        <v>39</v>
      </c>
      <c r="D64" s="28" t="s">
        <v>40</v>
      </c>
      <c r="E64" s="28" t="s">
        <v>4</v>
      </c>
    </row>
    <row r="65" customFormat="false" ht="13.2" hidden="false" customHeight="false" outlineLevel="0" collapsed="false">
      <c r="A65" s="29" t="s">
        <v>96</v>
      </c>
      <c r="B65" s="2" t="s">
        <v>211</v>
      </c>
      <c r="C65" s="2" t="s">
        <v>196</v>
      </c>
      <c r="D65" s="2" t="s">
        <v>137</v>
      </c>
      <c r="E65" s="3" t="s">
        <v>212</v>
      </c>
    </row>
    <row r="66" customFormat="false" ht="13.2" hidden="false" customHeight="false" outlineLevel="0" collapsed="false">
      <c r="A66" s="29" t="s">
        <v>124</v>
      </c>
      <c r="B66" s="2" t="s">
        <v>211</v>
      </c>
      <c r="C66" s="2" t="s">
        <v>185</v>
      </c>
      <c r="D66" s="2" t="s">
        <v>113</v>
      </c>
      <c r="E66" s="3" t="s">
        <v>213</v>
      </c>
    </row>
    <row r="67" customFormat="false" ht="13.2" hidden="false" customHeight="false" outlineLevel="0" collapsed="false">
      <c r="A67" s="29" t="s">
        <v>214</v>
      </c>
      <c r="B67" s="2" t="s">
        <v>211</v>
      </c>
      <c r="C67" s="2" t="s">
        <v>185</v>
      </c>
      <c r="D67" s="2" t="s">
        <v>139</v>
      </c>
      <c r="E67" s="3" t="s">
        <v>215</v>
      </c>
    </row>
  </sheetData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  <mergeCell ref="A15:J15"/>
    <mergeCell ref="A23:J23"/>
    <mergeCell ref="A27:J2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890625" defaultRowHeight="13.2" zeroHeight="false" outlineLevelRow="0" outlineLevelCol="0"/>
  <cols>
    <col collapsed="false" customWidth="true" hidden="false" outlineLevel="0" max="1" min="1" style="1" width="24.87"/>
    <col collapsed="false" customWidth="true" hidden="false" outlineLevel="0" max="2" min="2" style="2" width="24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1" width="17"/>
    <col collapsed="false" customWidth="true" hidden="false" outlineLevel="0" max="6" min="6" style="1" width="23.66"/>
    <col collapsed="false" customWidth="true" hidden="false" outlineLevel="0" max="9" min="7" style="2" width="4.56"/>
    <col collapsed="false" customWidth="true" hidden="false" outlineLevel="0" max="10" min="10" style="2" width="4.78"/>
    <col collapsed="false" customWidth="true" hidden="false" outlineLevel="0" max="11" min="11" style="3" width="5.78"/>
    <col collapsed="false" customWidth="true" hidden="false" outlineLevel="0" max="12" min="12" style="4" width="7.56"/>
    <col collapsed="false" customWidth="true" hidden="false" outlineLevel="0" max="13" min="13" style="1" width="7.11"/>
    <col collapsed="false" customWidth="false" hidden="false" outlineLevel="0" max="1024" min="14" style="5" width="9.12"/>
  </cols>
  <sheetData>
    <row r="1" s="7" customFormat="true" ht="28.95" hidden="false" customHeight="true" outlineLevel="0" collapsed="false">
      <c r="A1" s="6" t="s">
        <v>216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1" t="s">
        <v>131</v>
      </c>
      <c r="H3" s="11"/>
      <c r="I3" s="11"/>
      <c r="J3" s="11"/>
      <c r="K3" s="10" t="s">
        <v>8</v>
      </c>
      <c r="L3" s="10" t="s">
        <v>9</v>
      </c>
      <c r="M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0"/>
      <c r="L4" s="10"/>
      <c r="M4" s="12"/>
    </row>
    <row r="5" s="2" customFormat="true" ht="15.6" hidden="false" customHeight="false" outlineLevel="0" collapsed="false">
      <c r="A5" s="15" t="s">
        <v>154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4"/>
      <c r="M5" s="1"/>
    </row>
    <row r="6" s="2" customFormat="true" ht="13.2" hidden="false" customHeight="false" outlineLevel="0" collapsed="false">
      <c r="A6" s="16" t="s">
        <v>72</v>
      </c>
      <c r="B6" s="17" t="s">
        <v>170</v>
      </c>
      <c r="C6" s="17" t="s">
        <v>74</v>
      </c>
      <c r="D6" s="17" t="str">
        <f aca="false">"0,6947"</f>
        <v>0,6947</v>
      </c>
      <c r="E6" s="16" t="s">
        <v>16</v>
      </c>
      <c r="F6" s="16" t="s">
        <v>75</v>
      </c>
      <c r="G6" s="17" t="s">
        <v>217</v>
      </c>
      <c r="H6" s="17" t="s">
        <v>218</v>
      </c>
      <c r="I6" s="17" t="s">
        <v>219</v>
      </c>
      <c r="J6" s="17" t="s">
        <v>220</v>
      </c>
      <c r="K6" s="19" t="str">
        <f aca="false">"49,0"</f>
        <v>49,0</v>
      </c>
      <c r="L6" s="20" t="str">
        <f aca="false">"48,3713"</f>
        <v>48,3713</v>
      </c>
      <c r="M6" s="16"/>
    </row>
    <row r="7" s="2" customFormat="true" ht="13.2" hidden="false" customHeight="false" outlineLevel="0" collapsed="false">
      <c r="A7" s="1"/>
      <c r="E7" s="1"/>
      <c r="F7" s="1"/>
      <c r="K7" s="3"/>
      <c r="L7" s="4"/>
      <c r="M7" s="1"/>
    </row>
    <row r="8" customFormat="false" ht="15" hidden="false" customHeight="false" outlineLevel="0" collapsed="false">
      <c r="E8" s="22" t="s">
        <v>29</v>
      </c>
    </row>
    <row r="9" customFormat="false" ht="15" hidden="false" customHeight="false" outlineLevel="0" collapsed="false">
      <c r="E9" s="22" t="s">
        <v>30</v>
      </c>
    </row>
    <row r="10" customFormat="false" ht="15" hidden="false" customHeight="false" outlineLevel="0" collapsed="false">
      <c r="E10" s="22" t="s">
        <v>31</v>
      </c>
    </row>
    <row r="11" customFormat="false" ht="13.2" hidden="false" customHeight="false" outlineLevel="0" collapsed="false">
      <c r="E11" s="1" t="s">
        <v>32</v>
      </c>
    </row>
    <row r="12" customFormat="false" ht="13.2" hidden="false" customHeight="false" outlineLevel="0" collapsed="false">
      <c r="E12" s="1" t="s">
        <v>33</v>
      </c>
    </row>
    <row r="13" customFormat="false" ht="13.2" hidden="false" customHeight="false" outlineLevel="0" collapsed="false">
      <c r="E13" s="1" t="s">
        <v>34</v>
      </c>
    </row>
    <row r="16" customFormat="false" ht="17.4" hidden="false" customHeight="false" outlineLevel="0" collapsed="false">
      <c r="A16" s="23" t="s">
        <v>35</v>
      </c>
      <c r="B16" s="24"/>
    </row>
    <row r="17" customFormat="false" ht="15.6" hidden="false" customHeight="false" outlineLevel="0" collapsed="false">
      <c r="A17" s="25" t="s">
        <v>45</v>
      </c>
      <c r="B17" s="21"/>
    </row>
    <row r="18" customFormat="false" ht="14.4" hidden="false" customHeight="false" outlineLevel="0" collapsed="false">
      <c r="A18" s="26"/>
      <c r="B18" s="27" t="s">
        <v>210</v>
      </c>
    </row>
    <row r="19" customFormat="false" ht="13.8" hidden="false" customHeight="false" outlineLevel="0" collapsed="false">
      <c r="A19" s="28" t="s">
        <v>1</v>
      </c>
      <c r="B19" s="28" t="s">
        <v>38</v>
      </c>
      <c r="C19" s="28" t="s">
        <v>39</v>
      </c>
      <c r="D19" s="28" t="s">
        <v>40</v>
      </c>
      <c r="E19" s="28" t="s">
        <v>4</v>
      </c>
    </row>
    <row r="20" customFormat="false" ht="13.2" hidden="false" customHeight="false" outlineLevel="0" collapsed="false">
      <c r="A20" s="29" t="s">
        <v>96</v>
      </c>
      <c r="B20" s="2" t="s">
        <v>211</v>
      </c>
      <c r="C20" s="2" t="s">
        <v>196</v>
      </c>
      <c r="D20" s="2" t="s">
        <v>220</v>
      </c>
      <c r="E20" s="3" t="s">
        <v>221</v>
      </c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890625" defaultRowHeight="13.2" zeroHeight="false" outlineLevelRow="0" outlineLevelCol="0"/>
  <cols>
    <col collapsed="false" customWidth="true" hidden="false" outlineLevel="0" max="1" min="1" style="1" width="24.87"/>
    <col collapsed="false" customWidth="true" hidden="false" outlineLevel="0" max="2" min="2" style="2" width="24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1" width="17"/>
    <col collapsed="false" customWidth="true" hidden="false" outlineLevel="0" max="6" min="6" style="1" width="23.66"/>
    <col collapsed="false" customWidth="true" hidden="false" outlineLevel="0" max="9" min="7" style="2" width="5.55"/>
    <col collapsed="false" customWidth="true" hidden="false" outlineLevel="0" max="10" min="10" style="2" width="4.78"/>
    <col collapsed="false" customWidth="true" hidden="false" outlineLevel="0" max="11" min="11" style="3" width="5.78"/>
    <col collapsed="false" customWidth="true" hidden="false" outlineLevel="0" max="12" min="12" style="4" width="8.56"/>
    <col collapsed="false" customWidth="true" hidden="false" outlineLevel="0" max="13" min="13" style="1" width="7.11"/>
    <col collapsed="false" customWidth="false" hidden="false" outlineLevel="0" max="1024" min="14" style="5" width="9.12"/>
  </cols>
  <sheetData>
    <row r="1" s="7" customFormat="true" ht="28.95" hidden="false" customHeight="true" outlineLevel="0" collapsed="false">
      <c r="A1" s="6" t="s">
        <v>222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1" t="s">
        <v>131</v>
      </c>
      <c r="H3" s="11"/>
      <c r="I3" s="11"/>
      <c r="J3" s="11"/>
      <c r="K3" s="10" t="s">
        <v>8</v>
      </c>
      <c r="L3" s="10" t="s">
        <v>9</v>
      </c>
      <c r="M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0"/>
      <c r="L4" s="10"/>
      <c r="M4" s="12"/>
    </row>
    <row r="5" s="2" customFormat="true" ht="15.6" hidden="false" customHeight="false" outlineLevel="0" collapsed="false">
      <c r="A5" s="15" t="s">
        <v>132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4"/>
      <c r="M5" s="1"/>
    </row>
    <row r="6" s="2" customFormat="true" ht="13.2" hidden="false" customHeight="false" outlineLevel="0" collapsed="false">
      <c r="A6" s="16" t="s">
        <v>223</v>
      </c>
      <c r="B6" s="17" t="s">
        <v>224</v>
      </c>
      <c r="C6" s="17" t="s">
        <v>225</v>
      </c>
      <c r="D6" s="17" t="str">
        <f aca="false">"0,8871"</f>
        <v>0,8871</v>
      </c>
      <c r="E6" s="16" t="s">
        <v>16</v>
      </c>
      <c r="F6" s="16" t="s">
        <v>17</v>
      </c>
      <c r="G6" s="17" t="s">
        <v>139</v>
      </c>
      <c r="H6" s="17" t="s">
        <v>113</v>
      </c>
      <c r="I6" s="18" t="s">
        <v>76</v>
      </c>
      <c r="J6" s="18"/>
      <c r="K6" s="19" t="str">
        <f aca="false">"70,0"</f>
        <v>70,0</v>
      </c>
      <c r="L6" s="20" t="str">
        <f aca="false">"62,1005"</f>
        <v>62,1005</v>
      </c>
      <c r="M6" s="16"/>
    </row>
    <row r="7" s="2" customFormat="true" ht="13.2" hidden="false" customHeight="false" outlineLevel="0" collapsed="false">
      <c r="A7" s="1"/>
      <c r="E7" s="1"/>
      <c r="F7" s="1"/>
      <c r="K7" s="3"/>
      <c r="L7" s="4"/>
      <c r="M7" s="1"/>
    </row>
    <row r="8" customFormat="false" ht="15.6" hidden="false" customHeight="false" outlineLevel="0" collapsed="false">
      <c r="A8" s="21" t="s">
        <v>226</v>
      </c>
      <c r="B8" s="21"/>
      <c r="C8" s="21"/>
      <c r="D8" s="21"/>
      <c r="E8" s="21"/>
      <c r="F8" s="21"/>
      <c r="G8" s="21"/>
      <c r="H8" s="21"/>
      <c r="I8" s="21"/>
      <c r="J8" s="21"/>
    </row>
    <row r="9" customFormat="false" ht="13.2" hidden="false" customHeight="false" outlineLevel="0" collapsed="false">
      <c r="A9" s="16" t="s">
        <v>227</v>
      </c>
      <c r="B9" s="17" t="s">
        <v>228</v>
      </c>
      <c r="C9" s="17" t="s">
        <v>229</v>
      </c>
      <c r="D9" s="17" t="str">
        <f aca="false">"0,7363"</f>
        <v>0,7363</v>
      </c>
      <c r="E9" s="16" t="s">
        <v>16</v>
      </c>
      <c r="F9" s="16" t="s">
        <v>17</v>
      </c>
      <c r="G9" s="17" t="s">
        <v>76</v>
      </c>
      <c r="H9" s="17" t="s">
        <v>143</v>
      </c>
      <c r="I9" s="17" t="s">
        <v>158</v>
      </c>
      <c r="J9" s="18"/>
      <c r="K9" s="19" t="str">
        <f aca="false">"85,0"</f>
        <v>85,0</v>
      </c>
      <c r="L9" s="20" t="str">
        <f aca="false">"62,5855"</f>
        <v>62,5855</v>
      </c>
      <c r="M9" s="16"/>
    </row>
    <row r="11" customFormat="false" ht="15.6" hidden="false" customHeight="false" outlineLevel="0" collapsed="false">
      <c r="A11" s="21" t="s">
        <v>132</v>
      </c>
      <c r="B11" s="21"/>
      <c r="C11" s="21"/>
      <c r="D11" s="21"/>
      <c r="E11" s="21"/>
      <c r="F11" s="21"/>
      <c r="G11" s="21"/>
      <c r="H11" s="21"/>
      <c r="I11" s="21"/>
      <c r="J11" s="21"/>
    </row>
    <row r="12" customFormat="false" ht="13.2" hidden="false" customHeight="false" outlineLevel="0" collapsed="false">
      <c r="A12" s="16" t="s">
        <v>110</v>
      </c>
      <c r="B12" s="17" t="s">
        <v>151</v>
      </c>
      <c r="C12" s="17" t="s">
        <v>112</v>
      </c>
      <c r="D12" s="17" t="str">
        <f aca="false">"0,7271"</f>
        <v>0,7271</v>
      </c>
      <c r="E12" s="16" t="s">
        <v>16</v>
      </c>
      <c r="F12" s="16" t="s">
        <v>75</v>
      </c>
      <c r="G12" s="17" t="s">
        <v>230</v>
      </c>
      <c r="H12" s="17" t="s">
        <v>20</v>
      </c>
      <c r="I12" s="18" t="s">
        <v>231</v>
      </c>
      <c r="J12" s="18"/>
      <c r="K12" s="19" t="str">
        <f aca="false">"120,0"</f>
        <v>120,0</v>
      </c>
      <c r="L12" s="20" t="str">
        <f aca="false">"88,9970"</f>
        <v>88,9970</v>
      </c>
      <c r="M12" s="16"/>
    </row>
    <row r="14" customFormat="false" ht="15.6" hidden="false" customHeight="false" outlineLevel="0" collapsed="false">
      <c r="A14" s="21" t="s">
        <v>154</v>
      </c>
      <c r="B14" s="21"/>
      <c r="C14" s="21"/>
      <c r="D14" s="21"/>
      <c r="E14" s="21"/>
      <c r="F14" s="21"/>
      <c r="G14" s="21"/>
      <c r="H14" s="21"/>
      <c r="I14" s="21"/>
      <c r="J14" s="21"/>
    </row>
    <row r="15" customFormat="false" ht="13.2" hidden="false" customHeight="false" outlineLevel="0" collapsed="false">
      <c r="A15" s="16" t="s">
        <v>72</v>
      </c>
      <c r="B15" s="17" t="s">
        <v>170</v>
      </c>
      <c r="C15" s="17" t="s">
        <v>74</v>
      </c>
      <c r="D15" s="17" t="str">
        <f aca="false">"0,6947"</f>
        <v>0,6947</v>
      </c>
      <c r="E15" s="16" t="s">
        <v>16</v>
      </c>
      <c r="F15" s="16" t="s">
        <v>75</v>
      </c>
      <c r="G15" s="17" t="s">
        <v>19</v>
      </c>
      <c r="H15" s="17" t="s">
        <v>20</v>
      </c>
      <c r="I15" s="17" t="s">
        <v>231</v>
      </c>
      <c r="J15" s="18"/>
      <c r="K15" s="19" t="str">
        <f aca="false">"125,0"</f>
        <v>125,0</v>
      </c>
      <c r="L15" s="20" t="str">
        <f aca="false">"123,3961"</f>
        <v>123,3961</v>
      </c>
      <c r="M15" s="16"/>
    </row>
    <row r="17" customFormat="false" ht="15.6" hidden="false" customHeight="false" outlineLevel="0" collapsed="false">
      <c r="A17" s="21" t="s">
        <v>179</v>
      </c>
      <c r="B17" s="21"/>
      <c r="C17" s="21"/>
      <c r="D17" s="21"/>
      <c r="E17" s="21"/>
      <c r="F17" s="21"/>
      <c r="G17" s="21"/>
      <c r="H17" s="21"/>
      <c r="I17" s="21"/>
      <c r="J17" s="21"/>
    </row>
    <row r="18" customFormat="false" ht="13.2" hidden="false" customHeight="false" outlineLevel="0" collapsed="false">
      <c r="A18" s="16" t="s">
        <v>232</v>
      </c>
      <c r="B18" s="17" t="s">
        <v>233</v>
      </c>
      <c r="C18" s="17" t="s">
        <v>234</v>
      </c>
      <c r="D18" s="17" t="str">
        <f aca="false">"0,5835"</f>
        <v>0,5835</v>
      </c>
      <c r="E18" s="16" t="s">
        <v>16</v>
      </c>
      <c r="F18" s="16" t="s">
        <v>235</v>
      </c>
      <c r="G18" s="17" t="s">
        <v>20</v>
      </c>
      <c r="H18" s="17" t="s">
        <v>236</v>
      </c>
      <c r="I18" s="18" t="s">
        <v>237</v>
      </c>
      <c r="J18" s="18"/>
      <c r="K18" s="19" t="str">
        <f aca="false">"130,0"</f>
        <v>130,0</v>
      </c>
      <c r="L18" s="20" t="str">
        <f aca="false">"119,5577"</f>
        <v>119,5577</v>
      </c>
      <c r="M18" s="16"/>
    </row>
    <row r="20" customFormat="false" ht="15" hidden="false" customHeight="false" outlineLevel="0" collapsed="false">
      <c r="E20" s="22" t="s">
        <v>29</v>
      </c>
    </row>
    <row r="21" customFormat="false" ht="15" hidden="false" customHeight="false" outlineLevel="0" collapsed="false">
      <c r="E21" s="22" t="s">
        <v>30</v>
      </c>
    </row>
    <row r="22" customFormat="false" ht="15" hidden="false" customHeight="false" outlineLevel="0" collapsed="false">
      <c r="E22" s="22" t="s">
        <v>31</v>
      </c>
    </row>
    <row r="23" customFormat="false" ht="13.2" hidden="false" customHeight="false" outlineLevel="0" collapsed="false">
      <c r="E23" s="1" t="s">
        <v>32</v>
      </c>
    </row>
    <row r="24" customFormat="false" ht="13.2" hidden="false" customHeight="false" outlineLevel="0" collapsed="false">
      <c r="E24" s="1" t="s">
        <v>33</v>
      </c>
    </row>
    <row r="25" customFormat="false" ht="13.2" hidden="false" customHeight="false" outlineLevel="0" collapsed="false">
      <c r="E25" s="1" t="s">
        <v>34</v>
      </c>
    </row>
    <row r="28" customFormat="false" ht="17.4" hidden="false" customHeight="false" outlineLevel="0" collapsed="false">
      <c r="A28" s="23" t="s">
        <v>35</v>
      </c>
      <c r="B28" s="24"/>
    </row>
    <row r="29" customFormat="false" ht="15.6" hidden="false" customHeight="false" outlineLevel="0" collapsed="false">
      <c r="A29" s="25" t="s">
        <v>36</v>
      </c>
      <c r="B29" s="21"/>
    </row>
    <row r="30" customFormat="false" ht="14.4" hidden="false" customHeight="false" outlineLevel="0" collapsed="false">
      <c r="A30" s="26"/>
      <c r="B30" s="27" t="s">
        <v>46</v>
      </c>
    </row>
    <row r="31" customFormat="false" ht="13.8" hidden="false" customHeight="false" outlineLevel="0" collapsed="false">
      <c r="A31" s="28" t="s">
        <v>1</v>
      </c>
      <c r="B31" s="28" t="s">
        <v>38</v>
      </c>
      <c r="C31" s="28" t="s">
        <v>39</v>
      </c>
      <c r="D31" s="28" t="s">
        <v>40</v>
      </c>
      <c r="E31" s="28" t="s">
        <v>4</v>
      </c>
    </row>
    <row r="32" customFormat="false" ht="13.2" hidden="false" customHeight="false" outlineLevel="0" collapsed="false">
      <c r="A32" s="29" t="s">
        <v>238</v>
      </c>
      <c r="B32" s="2" t="s">
        <v>46</v>
      </c>
      <c r="C32" s="2" t="s">
        <v>185</v>
      </c>
      <c r="D32" s="2" t="s">
        <v>113</v>
      </c>
      <c r="E32" s="3" t="s">
        <v>239</v>
      </c>
    </row>
    <row r="34" customFormat="false" ht="14.4" hidden="false" customHeight="false" outlineLevel="0" collapsed="false">
      <c r="A34" s="26"/>
      <c r="B34" s="27" t="s">
        <v>210</v>
      </c>
    </row>
    <row r="35" customFormat="false" ht="13.8" hidden="false" customHeight="false" outlineLevel="0" collapsed="false">
      <c r="A35" s="28" t="s">
        <v>1</v>
      </c>
      <c r="B35" s="28" t="s">
        <v>38</v>
      </c>
      <c r="C35" s="28" t="s">
        <v>39</v>
      </c>
      <c r="D35" s="28" t="s">
        <v>40</v>
      </c>
      <c r="E35" s="28" t="s">
        <v>4</v>
      </c>
    </row>
    <row r="36" customFormat="false" ht="13.2" hidden="false" customHeight="false" outlineLevel="0" collapsed="false">
      <c r="A36" s="29" t="s">
        <v>240</v>
      </c>
      <c r="B36" s="2" t="s">
        <v>211</v>
      </c>
      <c r="C36" s="2" t="s">
        <v>241</v>
      </c>
      <c r="D36" s="2" t="s">
        <v>158</v>
      </c>
      <c r="E36" s="3" t="s">
        <v>242</v>
      </c>
    </row>
    <row r="39" customFormat="false" ht="15.6" hidden="false" customHeight="false" outlineLevel="0" collapsed="false">
      <c r="A39" s="25" t="s">
        <v>45</v>
      </c>
      <c r="B39" s="21"/>
    </row>
    <row r="40" customFormat="false" ht="14.4" hidden="false" customHeight="false" outlineLevel="0" collapsed="false">
      <c r="A40" s="26"/>
      <c r="B40" s="27" t="s">
        <v>210</v>
      </c>
    </row>
    <row r="41" customFormat="false" ht="13.8" hidden="false" customHeight="false" outlineLevel="0" collapsed="false">
      <c r="A41" s="28" t="s">
        <v>1</v>
      </c>
      <c r="B41" s="28" t="s">
        <v>38</v>
      </c>
      <c r="C41" s="28" t="s">
        <v>39</v>
      </c>
      <c r="D41" s="28" t="s">
        <v>40</v>
      </c>
      <c r="E41" s="28" t="s">
        <v>4</v>
      </c>
    </row>
    <row r="42" customFormat="false" ht="13.2" hidden="false" customHeight="false" outlineLevel="0" collapsed="false">
      <c r="A42" s="29" t="s">
        <v>96</v>
      </c>
      <c r="B42" s="2" t="s">
        <v>211</v>
      </c>
      <c r="C42" s="2" t="s">
        <v>196</v>
      </c>
      <c r="D42" s="2" t="s">
        <v>231</v>
      </c>
      <c r="E42" s="3" t="s">
        <v>243</v>
      </c>
    </row>
    <row r="43" customFormat="false" ht="13.2" hidden="false" customHeight="false" outlineLevel="0" collapsed="false">
      <c r="A43" s="29" t="s">
        <v>244</v>
      </c>
      <c r="B43" s="2" t="s">
        <v>211</v>
      </c>
      <c r="C43" s="2" t="s">
        <v>191</v>
      </c>
      <c r="D43" s="2" t="s">
        <v>236</v>
      </c>
      <c r="E43" s="3" t="s">
        <v>245</v>
      </c>
    </row>
    <row r="44" customFormat="false" ht="13.2" hidden="false" customHeight="false" outlineLevel="0" collapsed="false">
      <c r="A44" s="29" t="s">
        <v>124</v>
      </c>
      <c r="B44" s="2" t="s">
        <v>211</v>
      </c>
      <c r="C44" s="2" t="s">
        <v>185</v>
      </c>
      <c r="D44" s="2" t="s">
        <v>20</v>
      </c>
      <c r="E44" s="3" t="s">
        <v>246</v>
      </c>
    </row>
  </sheetData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  <mergeCell ref="A11:J11"/>
    <mergeCell ref="A14:J14"/>
    <mergeCell ref="A17:J1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9.12890625" defaultRowHeight="13.2" zeroHeight="false" outlineLevelRow="0" outlineLevelCol="0"/>
  <cols>
    <col collapsed="false" customWidth="true" hidden="false" outlineLevel="0" max="1" min="1" style="1" width="24.87"/>
    <col collapsed="false" customWidth="true" hidden="false" outlineLevel="0" max="2" min="2" style="2" width="24"/>
    <col collapsed="false" customWidth="true" hidden="false" outlineLevel="0" max="3" min="3" style="2" width="7.56"/>
    <col collapsed="false" customWidth="true" hidden="false" outlineLevel="0" max="4" min="4" style="2" width="6.56"/>
    <col collapsed="false" customWidth="true" hidden="false" outlineLevel="0" max="5" min="5" style="1" width="17"/>
    <col collapsed="false" customWidth="true" hidden="false" outlineLevel="0" max="6" min="6" style="1" width="27.22"/>
    <col collapsed="false" customWidth="true" hidden="false" outlineLevel="0" max="9" min="7" style="2" width="4.56"/>
    <col collapsed="false" customWidth="true" hidden="false" outlineLevel="0" max="10" min="10" style="2" width="4.78"/>
    <col collapsed="false" customWidth="true" hidden="false" outlineLevel="0" max="11" min="11" style="3" width="5.78"/>
    <col collapsed="false" customWidth="true" hidden="false" outlineLevel="0" max="12" min="12" style="4" width="7.56"/>
    <col collapsed="false" customWidth="true" hidden="false" outlineLevel="0" max="13" min="13" style="1" width="7.11"/>
    <col collapsed="false" customWidth="false" hidden="false" outlineLevel="0" max="1024" min="14" style="5" width="9.12"/>
  </cols>
  <sheetData>
    <row r="1" s="7" customFormat="true" ht="28.95" hidden="false" customHeight="true" outlineLevel="0" collapsed="false">
      <c r="A1" s="6" t="s">
        <v>247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1" t="s">
        <v>131</v>
      </c>
      <c r="H3" s="11"/>
      <c r="I3" s="11"/>
      <c r="J3" s="11"/>
      <c r="K3" s="10" t="s">
        <v>8</v>
      </c>
      <c r="L3" s="10" t="s">
        <v>9</v>
      </c>
      <c r="M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0"/>
      <c r="L4" s="10"/>
      <c r="M4" s="12"/>
    </row>
    <row r="5" s="2" customFormat="true" ht="15.6" hidden="false" customHeight="false" outlineLevel="0" collapsed="false">
      <c r="A5" s="15" t="s">
        <v>132</v>
      </c>
      <c r="B5" s="15"/>
      <c r="C5" s="15"/>
      <c r="D5" s="15"/>
      <c r="E5" s="15"/>
      <c r="F5" s="15"/>
      <c r="G5" s="15"/>
      <c r="H5" s="15"/>
      <c r="I5" s="15"/>
      <c r="J5" s="15"/>
      <c r="K5" s="3"/>
      <c r="L5" s="4"/>
      <c r="M5" s="1"/>
    </row>
    <row r="6" s="2" customFormat="true" ht="13.2" hidden="false" customHeight="false" outlineLevel="0" collapsed="false">
      <c r="A6" s="16" t="s">
        <v>248</v>
      </c>
      <c r="B6" s="17" t="s">
        <v>249</v>
      </c>
      <c r="C6" s="17" t="s">
        <v>250</v>
      </c>
      <c r="D6" s="17" t="str">
        <f aca="false">"0,8899"</f>
        <v>0,8899</v>
      </c>
      <c r="E6" s="16" t="s">
        <v>16</v>
      </c>
      <c r="F6" s="16" t="s">
        <v>251</v>
      </c>
      <c r="G6" s="17" t="s">
        <v>252</v>
      </c>
      <c r="H6" s="17" t="s">
        <v>253</v>
      </c>
      <c r="I6" s="18" t="s">
        <v>254</v>
      </c>
      <c r="J6" s="18"/>
      <c r="K6" s="19" t="str">
        <f aca="false">"40,5"</f>
        <v>40,5</v>
      </c>
      <c r="L6" s="20" t="str">
        <f aca="false">"39,5347"</f>
        <v>39,5347</v>
      </c>
      <c r="M6" s="16"/>
    </row>
    <row r="7" s="2" customFormat="true" ht="13.2" hidden="false" customHeight="false" outlineLevel="0" collapsed="false">
      <c r="A7" s="1"/>
      <c r="E7" s="1"/>
      <c r="F7" s="1"/>
      <c r="K7" s="3"/>
      <c r="L7" s="4"/>
      <c r="M7" s="1"/>
    </row>
    <row r="8" customFormat="false" ht="15.6" hidden="false" customHeight="false" outlineLevel="0" collapsed="false">
      <c r="A8" s="21" t="s">
        <v>154</v>
      </c>
      <c r="B8" s="21"/>
      <c r="C8" s="21"/>
      <c r="D8" s="21"/>
      <c r="E8" s="21"/>
      <c r="F8" s="21"/>
      <c r="G8" s="21"/>
      <c r="H8" s="21"/>
      <c r="I8" s="21"/>
      <c r="J8" s="21"/>
    </row>
    <row r="9" customFormat="false" ht="13.2" hidden="false" customHeight="false" outlineLevel="0" collapsed="false">
      <c r="A9" s="16" t="s">
        <v>72</v>
      </c>
      <c r="B9" s="17" t="s">
        <v>170</v>
      </c>
      <c r="C9" s="17" t="s">
        <v>74</v>
      </c>
      <c r="D9" s="17" t="str">
        <f aca="false">"0,6947"</f>
        <v>0,6947</v>
      </c>
      <c r="E9" s="16" t="s">
        <v>16</v>
      </c>
      <c r="F9" s="16" t="s">
        <v>75</v>
      </c>
      <c r="G9" s="17" t="s">
        <v>253</v>
      </c>
      <c r="H9" s="17" t="s">
        <v>255</v>
      </c>
      <c r="I9" s="18" t="s">
        <v>256</v>
      </c>
      <c r="J9" s="18"/>
      <c r="K9" s="19" t="str">
        <f aca="false">"50,5"</f>
        <v>50,5</v>
      </c>
      <c r="L9" s="20" t="str">
        <f aca="false">"49,8520"</f>
        <v>49,8520</v>
      </c>
      <c r="M9" s="16"/>
    </row>
    <row r="11" customFormat="false" ht="15" hidden="false" customHeight="false" outlineLevel="0" collapsed="false">
      <c r="E11" s="22" t="s">
        <v>29</v>
      </c>
    </row>
    <row r="12" customFormat="false" ht="15" hidden="false" customHeight="false" outlineLevel="0" collapsed="false">
      <c r="E12" s="22" t="s">
        <v>30</v>
      </c>
    </row>
    <row r="13" customFormat="false" ht="15" hidden="false" customHeight="false" outlineLevel="0" collapsed="false">
      <c r="E13" s="22" t="s">
        <v>31</v>
      </c>
    </row>
    <row r="14" customFormat="false" ht="13.2" hidden="false" customHeight="false" outlineLevel="0" collapsed="false">
      <c r="E14" s="1" t="s">
        <v>32</v>
      </c>
    </row>
    <row r="15" customFormat="false" ht="13.2" hidden="false" customHeight="false" outlineLevel="0" collapsed="false">
      <c r="E15" s="1" t="s">
        <v>33</v>
      </c>
    </row>
    <row r="16" customFormat="false" ht="13.2" hidden="false" customHeight="false" outlineLevel="0" collapsed="false">
      <c r="E16" s="1" t="s">
        <v>34</v>
      </c>
    </row>
    <row r="19" customFormat="false" ht="17.4" hidden="false" customHeight="false" outlineLevel="0" collapsed="false">
      <c r="A19" s="23" t="s">
        <v>35</v>
      </c>
      <c r="B19" s="24"/>
    </row>
    <row r="20" customFormat="false" ht="15.6" hidden="false" customHeight="false" outlineLevel="0" collapsed="false">
      <c r="A20" s="25" t="s">
        <v>36</v>
      </c>
      <c r="B20" s="21"/>
    </row>
    <row r="21" customFormat="false" ht="14.4" hidden="false" customHeight="false" outlineLevel="0" collapsed="false">
      <c r="A21" s="26"/>
      <c r="B21" s="27" t="s">
        <v>210</v>
      </c>
    </row>
    <row r="22" customFormat="false" ht="13.8" hidden="false" customHeight="false" outlineLevel="0" collapsed="false">
      <c r="A22" s="28" t="s">
        <v>1</v>
      </c>
      <c r="B22" s="28" t="s">
        <v>38</v>
      </c>
      <c r="C22" s="28" t="s">
        <v>39</v>
      </c>
      <c r="D22" s="28" t="s">
        <v>40</v>
      </c>
      <c r="E22" s="28" t="s">
        <v>4</v>
      </c>
    </row>
    <row r="23" customFormat="false" ht="13.2" hidden="false" customHeight="false" outlineLevel="0" collapsed="false">
      <c r="A23" s="29" t="s">
        <v>257</v>
      </c>
      <c r="B23" s="2" t="s">
        <v>211</v>
      </c>
      <c r="C23" s="2" t="s">
        <v>185</v>
      </c>
      <c r="D23" s="2" t="s">
        <v>253</v>
      </c>
      <c r="E23" s="3" t="s">
        <v>258</v>
      </c>
    </row>
    <row r="26" customFormat="false" ht="15.6" hidden="false" customHeight="false" outlineLevel="0" collapsed="false">
      <c r="A26" s="25" t="s">
        <v>45</v>
      </c>
      <c r="B26" s="21"/>
    </row>
    <row r="27" customFormat="false" ht="14.4" hidden="false" customHeight="false" outlineLevel="0" collapsed="false">
      <c r="A27" s="26"/>
      <c r="B27" s="27" t="s">
        <v>210</v>
      </c>
    </row>
    <row r="28" customFormat="false" ht="13.8" hidden="false" customHeight="false" outlineLevel="0" collapsed="false">
      <c r="A28" s="28" t="s">
        <v>1</v>
      </c>
      <c r="B28" s="28" t="s">
        <v>38</v>
      </c>
      <c r="C28" s="28" t="s">
        <v>39</v>
      </c>
      <c r="D28" s="28" t="s">
        <v>40</v>
      </c>
      <c r="E28" s="28" t="s">
        <v>4</v>
      </c>
    </row>
    <row r="29" customFormat="false" ht="13.2" hidden="false" customHeight="false" outlineLevel="0" collapsed="false">
      <c r="A29" s="29" t="s">
        <v>96</v>
      </c>
      <c r="B29" s="2" t="s">
        <v>211</v>
      </c>
      <c r="C29" s="2" t="s">
        <v>196</v>
      </c>
      <c r="D29" s="2" t="s">
        <v>255</v>
      </c>
      <c r="E29" s="3" t="s">
        <v>259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J5"/>
    <mergeCell ref="A8:J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2890625" defaultRowHeight="13.2" zeroHeight="false" outlineLevelRow="0" outlineLevelCol="0"/>
  <cols>
    <col collapsed="false" customWidth="true" hidden="false" outlineLevel="0" max="1" min="1" style="1" width="24.87"/>
    <col collapsed="false" customWidth="true" hidden="false" outlineLevel="0" max="2" min="2" style="2" width="26.56"/>
    <col collapsed="false" customWidth="true" hidden="false" outlineLevel="0" max="3" min="3" style="2" width="7.56"/>
    <col collapsed="false" customWidth="true" hidden="false" outlineLevel="0" max="4" min="4" style="2" width="8.79"/>
    <col collapsed="false" customWidth="true" hidden="false" outlineLevel="0" max="5" min="5" style="1" width="17"/>
    <col collapsed="false" customWidth="true" hidden="false" outlineLevel="0" max="6" min="6" style="1" width="23.43"/>
    <col collapsed="false" customWidth="true" hidden="false" outlineLevel="0" max="9" min="7" style="2" width="5.55"/>
    <col collapsed="false" customWidth="true" hidden="false" outlineLevel="0" max="10" min="10" style="2" width="4.78"/>
    <col collapsed="false" customWidth="true" hidden="false" outlineLevel="0" max="13" min="11" style="2" width="5.55"/>
    <col collapsed="false" customWidth="true" hidden="false" outlineLevel="0" max="14" min="14" style="2" width="4.78"/>
    <col collapsed="false" customWidth="true" hidden="false" outlineLevel="0" max="15" min="15" style="3" width="5.78"/>
    <col collapsed="false" customWidth="true" hidden="false" outlineLevel="0" max="16" min="16" style="4" width="8.56"/>
    <col collapsed="false" customWidth="true" hidden="false" outlineLevel="0" max="17" min="17" style="1" width="7.11"/>
    <col collapsed="false" customWidth="false" hidden="false" outlineLevel="0" max="1024" min="18" style="5" width="9.12"/>
  </cols>
  <sheetData>
    <row r="1" s="7" customFormat="true" ht="28.95" hidden="false" customHeight="true" outlineLevel="0" collapsed="false">
      <c r="A1" s="6" t="s">
        <v>260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7" customFormat="true" ht="61.9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3" customFormat="true" ht="12.75" hidden="false" customHeight="true" outlineLevel="0" collapsed="false">
      <c r="A3" s="8" t="s">
        <v>1</v>
      </c>
      <c r="B3" s="9" t="s">
        <v>2</v>
      </c>
      <c r="C3" s="9" t="s">
        <v>3</v>
      </c>
      <c r="D3" s="10" t="s">
        <v>261</v>
      </c>
      <c r="E3" s="10" t="s">
        <v>5</v>
      </c>
      <c r="F3" s="10" t="s">
        <v>6</v>
      </c>
      <c r="G3" s="11" t="s">
        <v>7</v>
      </c>
      <c r="H3" s="11"/>
      <c r="I3" s="11"/>
      <c r="J3" s="11"/>
      <c r="K3" s="11" t="s">
        <v>262</v>
      </c>
      <c r="L3" s="11"/>
      <c r="M3" s="11"/>
      <c r="N3" s="11"/>
      <c r="O3" s="10" t="s">
        <v>263</v>
      </c>
      <c r="P3" s="10" t="s">
        <v>9</v>
      </c>
      <c r="Q3" s="12" t="s">
        <v>10</v>
      </c>
    </row>
    <row r="4" s="13" customFormat="true" ht="23.25" hidden="false" customHeight="true" outlineLevel="0" collapsed="false">
      <c r="A4" s="8"/>
      <c r="B4" s="9"/>
      <c r="C4" s="9"/>
      <c r="D4" s="9"/>
      <c r="E4" s="9"/>
      <c r="F4" s="9"/>
      <c r="G4" s="14" t="n">
        <v>1</v>
      </c>
      <c r="H4" s="14" t="n">
        <v>2</v>
      </c>
      <c r="I4" s="14" t="n">
        <v>3</v>
      </c>
      <c r="J4" s="14" t="s">
        <v>11</v>
      </c>
      <c r="K4" s="14" t="n">
        <v>1</v>
      </c>
      <c r="L4" s="14" t="n">
        <v>2</v>
      </c>
      <c r="M4" s="14" t="n">
        <v>3</v>
      </c>
      <c r="N4" s="14" t="s">
        <v>11</v>
      </c>
      <c r="O4" s="10"/>
      <c r="P4" s="10"/>
      <c r="Q4" s="12"/>
    </row>
    <row r="5" s="2" customFormat="true" ht="15.6" hidden="false" customHeight="false" outlineLevel="0" collapsed="false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3"/>
      <c r="P5" s="4"/>
      <c r="Q5" s="1"/>
    </row>
    <row r="6" s="2" customFormat="true" ht="13.2" hidden="false" customHeight="false" outlineLevel="0" collapsed="false">
      <c r="A6" s="30" t="s">
        <v>155</v>
      </c>
      <c r="B6" s="31" t="s">
        <v>264</v>
      </c>
      <c r="C6" s="31" t="s">
        <v>157</v>
      </c>
      <c r="D6" s="31" t="str">
        <f aca="false">"0,6645"</f>
        <v>0,6645</v>
      </c>
      <c r="E6" s="30" t="s">
        <v>16</v>
      </c>
      <c r="F6" s="30" t="s">
        <v>59</v>
      </c>
      <c r="G6" s="31" t="s">
        <v>265</v>
      </c>
      <c r="H6" s="31" t="s">
        <v>266</v>
      </c>
      <c r="I6" s="31" t="s">
        <v>158</v>
      </c>
      <c r="J6" s="38"/>
      <c r="K6" s="31" t="s">
        <v>267</v>
      </c>
      <c r="L6" s="31" t="s">
        <v>268</v>
      </c>
      <c r="M6" s="31" t="s">
        <v>269</v>
      </c>
      <c r="N6" s="38"/>
      <c r="O6" s="32" t="str">
        <f aca="false">"240,0"</f>
        <v>240,0</v>
      </c>
      <c r="P6" s="33" t="str">
        <f aca="false">"159,4800"</f>
        <v>159,4800</v>
      </c>
      <c r="Q6" s="30"/>
    </row>
    <row r="7" s="2" customFormat="true" ht="13.2" hidden="false" customHeight="false" outlineLevel="0" collapsed="false">
      <c r="A7" s="34" t="s">
        <v>155</v>
      </c>
      <c r="B7" s="35" t="s">
        <v>169</v>
      </c>
      <c r="C7" s="35" t="s">
        <v>157</v>
      </c>
      <c r="D7" s="35" t="str">
        <f aca="false">"0,6645"</f>
        <v>0,6645</v>
      </c>
      <c r="E7" s="34" t="s">
        <v>16</v>
      </c>
      <c r="F7" s="34" t="s">
        <v>59</v>
      </c>
      <c r="G7" s="35" t="s">
        <v>265</v>
      </c>
      <c r="H7" s="35" t="s">
        <v>266</v>
      </c>
      <c r="I7" s="35" t="s">
        <v>158</v>
      </c>
      <c r="J7" s="44"/>
      <c r="K7" s="35" t="s">
        <v>267</v>
      </c>
      <c r="L7" s="35" t="s">
        <v>268</v>
      </c>
      <c r="M7" s="35" t="s">
        <v>269</v>
      </c>
      <c r="N7" s="44"/>
      <c r="O7" s="36" t="str">
        <f aca="false">"240,0"</f>
        <v>240,0</v>
      </c>
      <c r="P7" s="37" t="str">
        <f aca="false">"159,4800"</f>
        <v>159,4800</v>
      </c>
      <c r="Q7" s="34"/>
    </row>
    <row r="9" customFormat="false" ht="15.6" hidden="false" customHeight="false" outlineLevel="0" collapsed="false">
      <c r="A9" s="21" t="s">
        <v>179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customFormat="false" ht="13.2" hidden="false" customHeight="false" outlineLevel="0" collapsed="false">
      <c r="A10" s="16" t="s">
        <v>270</v>
      </c>
      <c r="B10" s="17" t="s">
        <v>271</v>
      </c>
      <c r="C10" s="17" t="s">
        <v>272</v>
      </c>
      <c r="D10" s="17" t="str">
        <f aca="false">"0,5691"</f>
        <v>0,5691</v>
      </c>
      <c r="E10" s="16" t="s">
        <v>16</v>
      </c>
      <c r="F10" s="16" t="s">
        <v>273</v>
      </c>
      <c r="G10" s="17" t="s">
        <v>236</v>
      </c>
      <c r="H10" s="17" t="s">
        <v>237</v>
      </c>
      <c r="I10" s="18" t="s">
        <v>268</v>
      </c>
      <c r="J10" s="18"/>
      <c r="K10" s="17" t="s">
        <v>274</v>
      </c>
      <c r="L10" s="17" t="s">
        <v>275</v>
      </c>
      <c r="M10" s="17" t="s">
        <v>276</v>
      </c>
      <c r="N10" s="18"/>
      <c r="O10" s="19" t="str">
        <f aca="false">"372,5"</f>
        <v>372,5</v>
      </c>
      <c r="P10" s="20" t="str">
        <f aca="false">"292,5459"</f>
        <v>292,5459</v>
      </c>
      <c r="Q10" s="16"/>
    </row>
    <row r="12" customFormat="false" ht="15.6" hidden="false" customHeight="false" outlineLevel="0" collapsed="false">
      <c r="A12" s="21" t="s">
        <v>21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customFormat="false" ht="13.2" hidden="false" customHeight="false" outlineLevel="0" collapsed="false">
      <c r="A13" s="16" t="s">
        <v>84</v>
      </c>
      <c r="B13" s="17" t="s">
        <v>85</v>
      </c>
      <c r="C13" s="17" t="s">
        <v>86</v>
      </c>
      <c r="D13" s="17" t="str">
        <f aca="false">"0,5497"</f>
        <v>0,5497</v>
      </c>
      <c r="E13" s="16" t="s">
        <v>16</v>
      </c>
      <c r="F13" s="16" t="s">
        <v>87</v>
      </c>
      <c r="G13" s="17" t="s">
        <v>267</v>
      </c>
      <c r="H13" s="18" t="s">
        <v>277</v>
      </c>
      <c r="I13" s="17" t="s">
        <v>277</v>
      </c>
      <c r="J13" s="18"/>
      <c r="K13" s="17" t="s">
        <v>237</v>
      </c>
      <c r="L13" s="17" t="s">
        <v>278</v>
      </c>
      <c r="M13" s="17" t="s">
        <v>279</v>
      </c>
      <c r="N13" s="18"/>
      <c r="O13" s="19" t="str">
        <f aca="false">"302,5"</f>
        <v>302,5</v>
      </c>
      <c r="P13" s="20" t="str">
        <f aca="false">"166,2843"</f>
        <v>166,2843</v>
      </c>
      <c r="Q13" s="16"/>
    </row>
    <row r="15" customFormat="false" ht="15" hidden="false" customHeight="false" outlineLevel="0" collapsed="false">
      <c r="E15" s="22" t="s">
        <v>29</v>
      </c>
    </row>
    <row r="16" customFormat="false" ht="15" hidden="false" customHeight="false" outlineLevel="0" collapsed="false">
      <c r="E16" s="22" t="s">
        <v>30</v>
      </c>
    </row>
    <row r="17" customFormat="false" ht="15" hidden="false" customHeight="false" outlineLevel="0" collapsed="false">
      <c r="E17" s="22" t="s">
        <v>31</v>
      </c>
    </row>
    <row r="18" customFormat="false" ht="13.2" hidden="false" customHeight="false" outlineLevel="0" collapsed="false">
      <c r="E18" s="1" t="s">
        <v>32</v>
      </c>
    </row>
    <row r="19" customFormat="false" ht="13.2" hidden="false" customHeight="false" outlineLevel="0" collapsed="false">
      <c r="E19" s="1" t="s">
        <v>33</v>
      </c>
    </row>
    <row r="20" customFormat="false" ht="13.2" hidden="false" customHeight="false" outlineLevel="0" collapsed="false">
      <c r="E20" s="1" t="s">
        <v>34</v>
      </c>
    </row>
    <row r="23" customFormat="false" ht="17.4" hidden="false" customHeight="false" outlineLevel="0" collapsed="false">
      <c r="A23" s="23" t="s">
        <v>35</v>
      </c>
      <c r="B23" s="24"/>
    </row>
    <row r="24" customFormat="false" ht="15.6" hidden="false" customHeight="false" outlineLevel="0" collapsed="false">
      <c r="A24" s="25" t="s">
        <v>45</v>
      </c>
      <c r="B24" s="21"/>
    </row>
    <row r="25" customFormat="false" ht="14.4" hidden="false" customHeight="false" outlineLevel="0" collapsed="false">
      <c r="A25" s="26"/>
      <c r="B25" s="27" t="s">
        <v>280</v>
      </c>
    </row>
    <row r="26" customFormat="false" ht="13.8" hidden="false" customHeight="false" outlineLevel="0" collapsed="false">
      <c r="A26" s="28" t="s">
        <v>1</v>
      </c>
      <c r="B26" s="28" t="s">
        <v>38</v>
      </c>
      <c r="C26" s="28" t="s">
        <v>39</v>
      </c>
      <c r="D26" s="28" t="s">
        <v>281</v>
      </c>
      <c r="E26" s="28" t="s">
        <v>261</v>
      </c>
    </row>
    <row r="27" customFormat="false" ht="13.2" hidden="false" customHeight="false" outlineLevel="0" collapsed="false">
      <c r="A27" s="29" t="s">
        <v>195</v>
      </c>
      <c r="B27" s="2" t="s">
        <v>282</v>
      </c>
      <c r="C27" s="2" t="s">
        <v>43</v>
      </c>
      <c r="D27" s="2" t="s">
        <v>283</v>
      </c>
      <c r="E27" s="3" t="s">
        <v>284</v>
      </c>
    </row>
    <row r="29" customFormat="false" ht="14.4" hidden="false" customHeight="false" outlineLevel="0" collapsed="false">
      <c r="A29" s="26"/>
      <c r="B29" s="27" t="s">
        <v>46</v>
      </c>
    </row>
    <row r="30" customFormat="false" ht="13.8" hidden="false" customHeight="false" outlineLevel="0" collapsed="false">
      <c r="A30" s="28" t="s">
        <v>1</v>
      </c>
      <c r="B30" s="28" t="s">
        <v>38</v>
      </c>
      <c r="C30" s="28" t="s">
        <v>39</v>
      </c>
      <c r="D30" s="28" t="s">
        <v>281</v>
      </c>
      <c r="E30" s="28" t="s">
        <v>261</v>
      </c>
    </row>
    <row r="31" customFormat="false" ht="13.2" hidden="false" customHeight="false" outlineLevel="0" collapsed="false">
      <c r="A31" s="29" t="s">
        <v>93</v>
      </c>
      <c r="B31" s="2" t="s">
        <v>46</v>
      </c>
      <c r="C31" s="2" t="s">
        <v>48</v>
      </c>
      <c r="D31" s="2" t="s">
        <v>285</v>
      </c>
      <c r="E31" s="3" t="s">
        <v>286</v>
      </c>
    </row>
    <row r="32" customFormat="false" ht="13.2" hidden="false" customHeight="false" outlineLevel="0" collapsed="false">
      <c r="A32" s="29" t="s">
        <v>195</v>
      </c>
      <c r="B32" s="2" t="s">
        <v>46</v>
      </c>
      <c r="C32" s="2" t="s">
        <v>43</v>
      </c>
      <c r="D32" s="2" t="s">
        <v>283</v>
      </c>
      <c r="E32" s="3" t="s">
        <v>284</v>
      </c>
    </row>
    <row r="34" customFormat="false" ht="14.4" hidden="false" customHeight="false" outlineLevel="0" collapsed="false">
      <c r="A34" s="26"/>
      <c r="B34" s="27" t="s">
        <v>37</v>
      </c>
    </row>
    <row r="35" customFormat="false" ht="13.8" hidden="false" customHeight="false" outlineLevel="0" collapsed="false">
      <c r="A35" s="28" t="s">
        <v>1</v>
      </c>
      <c r="B35" s="28" t="s">
        <v>38</v>
      </c>
      <c r="C35" s="28" t="s">
        <v>39</v>
      </c>
      <c r="D35" s="28" t="s">
        <v>281</v>
      </c>
      <c r="E35" s="28" t="s">
        <v>261</v>
      </c>
    </row>
    <row r="36" customFormat="false" ht="13.2" hidden="false" customHeight="false" outlineLevel="0" collapsed="false">
      <c r="A36" s="29" t="s">
        <v>287</v>
      </c>
      <c r="B36" s="2" t="s">
        <v>288</v>
      </c>
      <c r="C36" s="2" t="s">
        <v>191</v>
      </c>
      <c r="D36" s="2" t="s">
        <v>289</v>
      </c>
      <c r="E36" s="3" t="s">
        <v>290</v>
      </c>
    </row>
  </sheetData>
  <mergeCells count="15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A5:N5"/>
    <mergeCell ref="A9:N9"/>
    <mergeCell ref="A12:N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2002-06-16T13:36:44Z</dcterms:created>
  <dc:creator>Tomchin</dc:creator>
  <dc:description/>
  <dc:language>ru-RU</dc:language>
  <cp:lastModifiedBy/>
  <cp:lastPrinted>2008-02-22T21:19:54Z</cp:lastPrinted>
  <dcterms:modified xsi:type="dcterms:W3CDTF">2021-07-09T19:06:08Z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