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" windowWidth="11340" windowHeight="9696" tabRatio="966" firstSheet="9" activeTab="19"/>
  </bookViews>
  <sheets>
    <sheet name="WPC pl raw" sheetId="1" r:id="rId1"/>
    <sheet name="WPC Pl classic raw" sheetId="2" r:id="rId2"/>
    <sheet name="WPC pl eq s-ply" sheetId="3" r:id="rId3"/>
    <sheet name="WPC bp raw" sheetId="4" r:id="rId4"/>
    <sheet name="WPC bp eq s-ply" sheetId="5" r:id="rId5"/>
    <sheet name="WPC bp eq m-ply" sheetId="6" r:id="rId6"/>
    <sheet name="WPC bp soft std" sheetId="7" r:id="rId7"/>
    <sheet name="WPC BP soft eq m-ply" sheetId="8" r:id="rId8"/>
    <sheet name=" WPC multi repeat  BP1 bw" sheetId="9" r:id="rId9"/>
    <sheet name="WPC dl raw" sheetId="10" r:id="rId10"/>
    <sheet name="AWPC pl raw " sheetId="11" r:id="rId11"/>
    <sheet name="AWPC Pl Classic raw" sheetId="12" r:id="rId12"/>
    <sheet name="AWPC pl eq s-ply" sheetId="13" r:id="rId13"/>
    <sheet name="AWPC bp raw" sheetId="14" r:id="rId14"/>
    <sheet name="AWPC bp eq s-ply" sheetId="15" r:id="rId15"/>
    <sheet name="AWPC bp eq m-ply" sheetId="16" r:id="rId16"/>
    <sheet name="AWPC bp soft std" sheetId="17" r:id="rId17"/>
    <sheet name="AWPC BP soft eq m-ply" sheetId="18" r:id="rId18"/>
    <sheet name="AWPC multi repeat BP 1 bw" sheetId="19" r:id="rId19"/>
    <sheet name="AWPC multi repeat  bp 0 5 bw" sheetId="20" r:id="rId20"/>
    <sheet name="AWPC dl raw" sheetId="21" r:id="rId21"/>
  </sheets>
  <definedNames/>
  <calcPr fullCalcOnLoad="1" refMode="R1C1"/>
</workbook>
</file>

<file path=xl/sharedStrings.xml><?xml version="1.0" encoding="utf-8"?>
<sst xmlns="http://schemas.openxmlformats.org/spreadsheetml/2006/main" count="5403" uniqueCount="1456">
  <si>
    <t>Name</t>
  </si>
  <si>
    <t>Gloss</t>
  </si>
  <si>
    <t>Team</t>
  </si>
  <si>
    <t>Town</t>
  </si>
  <si>
    <t>Squat</t>
  </si>
  <si>
    <t>Benchpress</t>
  </si>
  <si>
    <t>Deadlift</t>
  </si>
  <si>
    <t>Totall</t>
  </si>
  <si>
    <t>Coach</t>
  </si>
  <si>
    <t>Pts</t>
  </si>
  <si>
    <t>Rec</t>
  </si>
  <si>
    <t>Body
weight</t>
  </si>
  <si>
    <t xml:space="preserve">Age Categoty
Bith date/Age
</t>
  </si>
  <si>
    <t>Body Weight Category  60</t>
  </si>
  <si>
    <t>Gurve Sagar</t>
  </si>
  <si>
    <t>Juniors 20-23 (04.01.1996)/22</t>
  </si>
  <si>
    <t>57,80</t>
  </si>
  <si>
    <t>lichno</t>
  </si>
  <si>
    <t>Bangalore/India</t>
  </si>
  <si>
    <t>160,0</t>
  </si>
  <si>
    <t>180,0</t>
  </si>
  <si>
    <t>185,0</t>
  </si>
  <si>
    <t>200,0</t>
  </si>
  <si>
    <t>90,0</t>
  </si>
  <si>
    <t>100,0</t>
  </si>
  <si>
    <t>102,5</t>
  </si>
  <si>
    <t>105,0</t>
  </si>
  <si>
    <t>195,0</t>
  </si>
  <si>
    <t>Body Weight Category  82.5</t>
  </si>
  <si>
    <t>Plushunov Nikita</t>
  </si>
  <si>
    <t>Open (12.05.1994)/24</t>
  </si>
  <si>
    <t>80,80</t>
  </si>
  <si>
    <t>Podolsk/Moskovskaya oblast</t>
  </si>
  <si>
    <t>220,0</t>
  </si>
  <si>
    <t>235,0</t>
  </si>
  <si>
    <t>245,0</t>
  </si>
  <si>
    <t>140,0</t>
  </si>
  <si>
    <t>155,0</t>
  </si>
  <si>
    <t>162,5</t>
  </si>
  <si>
    <t>215,0</t>
  </si>
  <si>
    <t>222,5</t>
  </si>
  <si>
    <t>Dolgushin Sergey</t>
  </si>
  <si>
    <t>Open (23.07.1992)/26</t>
  </si>
  <si>
    <t>80,20</t>
  </si>
  <si>
    <t>Novovoronezhskaya AS</t>
  </si>
  <si>
    <t>Novovoronezh/Voronezhskaya oblast</t>
  </si>
  <si>
    <t>212,5</t>
  </si>
  <si>
    <t>130,0</t>
  </si>
  <si>
    <t>142,5</t>
  </si>
  <si>
    <t>150,0</t>
  </si>
  <si>
    <t>217,5</t>
  </si>
  <si>
    <t>225,0</t>
  </si>
  <si>
    <t>Body Weight Category  90</t>
  </si>
  <si>
    <t>Dalal Rajat</t>
  </si>
  <si>
    <t>Juniors 20-23 (12.01.1996)/22</t>
  </si>
  <si>
    <t>87,10</t>
  </si>
  <si>
    <t>250,0</t>
  </si>
  <si>
    <t>265,0</t>
  </si>
  <si>
    <t>270,0</t>
  </si>
  <si>
    <t>290,0</t>
  </si>
  <si>
    <t>302,5</t>
  </si>
  <si>
    <t>317,5</t>
  </si>
  <si>
    <t>Popalzay Abdul</t>
  </si>
  <si>
    <t>Open (11.04.1993)/25</t>
  </si>
  <si>
    <t>87,70</t>
  </si>
  <si>
    <t>Kursk/Kurskaya oblast</t>
  </si>
  <si>
    <t>190,0</t>
  </si>
  <si>
    <t>110,0</t>
  </si>
  <si>
    <t>125,0</t>
  </si>
  <si>
    <t>135,0</t>
  </si>
  <si>
    <t>210,0</t>
  </si>
  <si>
    <t>230,0</t>
  </si>
  <si>
    <t>Gyurdzhdi Alexandr</t>
  </si>
  <si>
    <t>Masters 40-44 (12.07.1974)/44</t>
  </si>
  <si>
    <t>89,40</t>
  </si>
  <si>
    <t>Balashikha/Moskovskaya oblast</t>
  </si>
  <si>
    <t>Body Weight Category  100</t>
  </si>
  <si>
    <t>Azamatulla Mohammed</t>
  </si>
  <si>
    <t>Open (23.11.1977)/41</t>
  </si>
  <si>
    <t>98,70</t>
  </si>
  <si>
    <t>237,5</t>
  </si>
  <si>
    <t>Masters 40-44 (23.11.1977)/41</t>
  </si>
  <si>
    <t>Gerun Andrey</t>
  </si>
  <si>
    <t>Masters 45-49 (02.02.1971)/47</t>
  </si>
  <si>
    <t>96,90</t>
  </si>
  <si>
    <t>Russia</t>
  </si>
  <si>
    <t>Shchelkovo/Moskovskaya oblast</t>
  </si>
  <si>
    <t>115,0</t>
  </si>
  <si>
    <t>Body Weight Category  110</t>
  </si>
  <si>
    <t>Martin Yanek</t>
  </si>
  <si>
    <t>Open (14.04.1986)/32</t>
  </si>
  <si>
    <t>110,00</t>
  </si>
  <si>
    <t>Zvenigorod/Moskovskaya oblast</t>
  </si>
  <si>
    <t>275,0</t>
  </si>
  <si>
    <t>300,0</t>
  </si>
  <si>
    <t>260,0</t>
  </si>
  <si>
    <t>280,0</t>
  </si>
  <si>
    <t>Body Weight Category  125</t>
  </si>
  <si>
    <t>Zaplavskiy Dmitriy</t>
  </si>
  <si>
    <t>Open (17.09.1984)/34</t>
  </si>
  <si>
    <t>112,30</t>
  </si>
  <si>
    <t>Moskva</t>
  </si>
  <si>
    <t>255,0</t>
  </si>
  <si>
    <t>167,5</t>
  </si>
  <si>
    <t>172,5</t>
  </si>
  <si>
    <t>267,5</t>
  </si>
  <si>
    <t>272,5</t>
  </si>
  <si>
    <t>Body Weight Category  140</t>
  </si>
  <si>
    <t>Raghavendra Shivanand</t>
  </si>
  <si>
    <t>Open (15.11.1980)/38</t>
  </si>
  <si>
    <t>126,70</t>
  </si>
  <si>
    <t>295,0</t>
  </si>
  <si>
    <t>310,0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</si>
  <si>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</si>
  <si>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</si>
  <si>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</si>
  <si>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</si>
  <si>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</si>
  <si>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</si>
  <si>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</si>
  <si>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</si>
  <si>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Junior</t>
  </si>
  <si>
    <t>Age class</t>
  </si>
  <si>
    <t>WC</t>
  </si>
  <si>
    <t>Coef.</t>
  </si>
  <si>
    <t>Juniors 20-23</t>
  </si>
  <si>
    <t>90</t>
  </si>
  <si>
    <t>712,5</t>
  </si>
  <si>
    <t>444,1725</t>
  </si>
  <si>
    <t>60</t>
  </si>
  <si>
    <t>487,5</t>
  </si>
  <si>
    <t>421,2731</t>
  </si>
  <si>
    <t>Open</t>
  </si>
  <si>
    <t>110</t>
  </si>
  <si>
    <t>775,0</t>
  </si>
  <si>
    <t>435,9375</t>
  </si>
  <si>
    <t>140</t>
  </si>
  <si>
    <t>750,0</t>
  </si>
  <si>
    <t>407,7375</t>
  </si>
  <si>
    <t>82.5</t>
  </si>
  <si>
    <t>622,5</t>
  </si>
  <si>
    <t>406,7726</t>
  </si>
  <si>
    <t>125</t>
  </si>
  <si>
    <t>695,0</t>
  </si>
  <si>
    <t>388,7830</t>
  </si>
  <si>
    <t>580,0</t>
  </si>
  <si>
    <t>380,8860</t>
  </si>
  <si>
    <t>575,0</t>
  </si>
  <si>
    <t>357,0175</t>
  </si>
  <si>
    <t>100</t>
  </si>
  <si>
    <t>592,5</t>
  </si>
  <si>
    <t>346,3459</t>
  </si>
  <si>
    <t>Masters</t>
  </si>
  <si>
    <t>Masters 40-44</t>
  </si>
  <si>
    <t>349,8093</t>
  </si>
  <si>
    <t>Masters 45-49</t>
  </si>
  <si>
    <t>540,0</t>
  </si>
  <si>
    <t>344,3746</t>
  </si>
  <si>
    <t>Body Weight Category  56</t>
  </si>
  <si>
    <t>Bondarchuk Elena</t>
  </si>
  <si>
    <t>Open (18.06.1980)/38</t>
  </si>
  <si>
    <t>55,80</t>
  </si>
  <si>
    <t>Sankt-Peterburg</t>
  </si>
  <si>
    <t>85,0</t>
  </si>
  <si>
    <t>95,0</t>
  </si>
  <si>
    <t>50,0</t>
  </si>
  <si>
    <t>55,0</t>
  </si>
  <si>
    <t>107,5</t>
  </si>
  <si>
    <t>112,5</t>
  </si>
  <si>
    <t>Velial Nika</t>
  </si>
  <si>
    <t>Open (25.11.1992)/26</t>
  </si>
  <si>
    <t>59,40</t>
  </si>
  <si>
    <t>Kami power pro</t>
  </si>
  <si>
    <t>92,5</t>
  </si>
  <si>
    <t>120,0</t>
  </si>
  <si>
    <t>132,5</t>
  </si>
  <si>
    <t>Body Weight Category  67.5</t>
  </si>
  <si>
    <t>Malcherek Magdalena</t>
  </si>
  <si>
    <t>Juniors 20-23 (24.04.1998)/20</t>
  </si>
  <si>
    <t>63,70</t>
  </si>
  <si>
    <t>Poland</t>
  </si>
  <si>
    <t>65,0</t>
  </si>
  <si>
    <t>72,5</t>
  </si>
  <si>
    <t>80,0</t>
  </si>
  <si>
    <t>157,5</t>
  </si>
  <si>
    <t>Petryakova Mariya</t>
  </si>
  <si>
    <t>Open (26.08.1984)/34</t>
  </si>
  <si>
    <t>67,50</t>
  </si>
  <si>
    <t>87,5</t>
  </si>
  <si>
    <t>45,0</t>
  </si>
  <si>
    <t>122,5</t>
  </si>
  <si>
    <t>Body Weight Category  75</t>
  </si>
  <si>
    <t>Doga Victoriya</t>
  </si>
  <si>
    <t>Open (04.09.1982)/36</t>
  </si>
  <si>
    <t>74,90</t>
  </si>
  <si>
    <t>147,5</t>
  </si>
  <si>
    <t>106,0</t>
  </si>
  <si>
    <t>177,5</t>
  </si>
  <si>
    <t>192,5</t>
  </si>
  <si>
    <t>197,5</t>
  </si>
  <si>
    <t>Markevich Sergey</t>
  </si>
  <si>
    <t>Open (31.03.1982)/36</t>
  </si>
  <si>
    <t>77,30</t>
  </si>
  <si>
    <t>Rusalenko Anton</t>
  </si>
  <si>
    <t>Open (22.10.1987)/31</t>
  </si>
  <si>
    <t>93,70</t>
  </si>
  <si>
    <t>242,5</t>
  </si>
  <si>
    <t>285,0</t>
  </si>
  <si>
    <t>Kotov Ilya</t>
  </si>
  <si>
    <t>Open (21.07.1992)/26</t>
  </si>
  <si>
    <t>97,40</t>
  </si>
  <si>
    <t>Chelyabinsk/Chelyabinskaya oblast</t>
  </si>
  <si>
    <t>165,0</t>
  </si>
  <si>
    <t>262,5</t>
  </si>
  <si>
    <t>Osherov Kirill</t>
  </si>
  <si>
    <t>Open (27.01.1990)/28</t>
  </si>
  <si>
    <t>97,10</t>
  </si>
  <si>
    <t>Grinev Dmitriy</t>
  </si>
  <si>
    <t>Masters 40-44 (16.05.1977)/41</t>
  </si>
  <si>
    <t>99,00</t>
  </si>
  <si>
    <t>Belgorod/Belgorodskaya oblast</t>
  </si>
  <si>
    <t>240,0</t>
  </si>
  <si>
    <t>170,0</t>
  </si>
  <si>
    <t>Khorev Mikhail</t>
  </si>
  <si>
    <t>Open (19.03.1980)/38</t>
  </si>
  <si>
    <t>105,70</t>
  </si>
  <si>
    <t>Kimry/Tverskaya oblast</t>
  </si>
  <si>
    <t>175,0</t>
  </si>
  <si>
    <t>Shilkin Nikita</t>
  </si>
  <si>
    <t>Open (15.07.1991)/27</t>
  </si>
  <si>
    <t>107,80</t>
  </si>
  <si>
    <t>Women</t>
  </si>
  <si>
    <t>67.5</t>
  </si>
  <si>
    <t>360,0</t>
  </si>
  <si>
    <t>338,9580</t>
  </si>
  <si>
    <t>75</t>
  </si>
  <si>
    <t>445,0</t>
  </si>
  <si>
    <t>372,3982</t>
  </si>
  <si>
    <t>342,5</t>
  </si>
  <si>
    <t>340,9930</t>
  </si>
  <si>
    <t>56</t>
  </si>
  <si>
    <t>257,5</t>
  </si>
  <si>
    <t>269,5768</t>
  </si>
  <si>
    <t>233,9870</t>
  </si>
  <si>
    <t>426,7875</t>
  </si>
  <si>
    <t>710,0</t>
  </si>
  <si>
    <t>404,2740</t>
  </si>
  <si>
    <t>665,0</t>
  </si>
  <si>
    <t>391,0200</t>
  </si>
  <si>
    <t>647,5</t>
  </si>
  <si>
    <t>366,3555</t>
  </si>
  <si>
    <t>375,0</t>
  </si>
  <si>
    <t>252,6188</t>
  </si>
  <si>
    <t>660,0</t>
  </si>
  <si>
    <t>389,1611</t>
  </si>
  <si>
    <t>Rostami Khosrow</t>
  </si>
  <si>
    <t>Open (07.08.1979)/39</t>
  </si>
  <si>
    <t>67,40</t>
  </si>
  <si>
    <t>Iran/</t>
  </si>
  <si>
    <t>137,5</t>
  </si>
  <si>
    <t>Pivovarov Oleg</t>
  </si>
  <si>
    <t>Open (18.03.1963)/55</t>
  </si>
  <si>
    <t>108,80</t>
  </si>
  <si>
    <t>Kazan/Tatarstan</t>
  </si>
  <si>
    <t>205,0</t>
  </si>
  <si>
    <t>Masters 55-59 (18.03.1963)/55</t>
  </si>
  <si>
    <t>722,5</t>
  </si>
  <si>
    <t>407,6706</t>
  </si>
  <si>
    <t>502,5</t>
  </si>
  <si>
    <t>376,5484</t>
  </si>
  <si>
    <t>Masters 55-59</t>
  </si>
  <si>
    <t>499,3965</t>
  </si>
  <si>
    <t>Body Weight Category  44</t>
  </si>
  <si>
    <t>Shah Bhavna</t>
  </si>
  <si>
    <t>Open (16.05.1976)/42</t>
  </si>
  <si>
    <t>42,70</t>
  </si>
  <si>
    <t>Indian</t>
  </si>
  <si>
    <t>India</t>
  </si>
  <si>
    <t>67,5</t>
  </si>
  <si>
    <t>25,0</t>
  </si>
  <si>
    <t>27,5</t>
  </si>
  <si>
    <t>30,0</t>
  </si>
  <si>
    <t>32,5</t>
  </si>
  <si>
    <t>60,0</t>
  </si>
  <si>
    <t>Masters 40-44 (16.05.1976)/42</t>
  </si>
  <si>
    <t>Body Weight Category  52</t>
  </si>
  <si>
    <t>Bachmaga Olga</t>
  </si>
  <si>
    <t>Open (23.09.1985)/33</t>
  </si>
  <si>
    <t>50,70</t>
  </si>
  <si>
    <t>70,0</t>
  </si>
  <si>
    <t>75,0</t>
  </si>
  <si>
    <t>Halas Koralewska</t>
  </si>
  <si>
    <t>Open (10.06.1987)/31</t>
  </si>
  <si>
    <t>59,90</t>
  </si>
  <si>
    <t>127,5</t>
  </si>
  <si>
    <t>131,0</t>
  </si>
  <si>
    <t>Lelyuk Dmitriy</t>
  </si>
  <si>
    <t>Teen 13-15 (28.01.2003)/15</t>
  </si>
  <si>
    <t>44,60</t>
  </si>
  <si>
    <t>Pallasovka/Volgogradskaya oblast</t>
  </si>
  <si>
    <t>40,0</t>
  </si>
  <si>
    <t>Peledutse Luchian</t>
  </si>
  <si>
    <t>Teen 13-15 (16.08.2004)/14</t>
  </si>
  <si>
    <t>57,30</t>
  </si>
  <si>
    <t>57,5</t>
  </si>
  <si>
    <t>Poursalehifathabadi Mostafa</t>
  </si>
  <si>
    <t>Juniors 20-23 (16.09.1997)/21</t>
  </si>
  <si>
    <t>66,50</t>
  </si>
  <si>
    <t>Iran</t>
  </si>
  <si>
    <t>Rusu Daniel</t>
  </si>
  <si>
    <t>Teen 13-15 (03.09.2003)/15</t>
  </si>
  <si>
    <t>69,30</t>
  </si>
  <si>
    <t>Berdnikov Vladimir</t>
  </si>
  <si>
    <t>Open (25.02.1987)/31</t>
  </si>
  <si>
    <t>74,30</t>
  </si>
  <si>
    <t>global fit</t>
  </si>
  <si>
    <t>Vidnoye/Moskovskaya oblast</t>
  </si>
  <si>
    <t>145,0</t>
  </si>
  <si>
    <t>Klushin Aleksey</t>
  </si>
  <si>
    <t>Open (03.04.1981)/37</t>
  </si>
  <si>
    <t>73,20</t>
  </si>
  <si>
    <t>Penza/Penzenskaya oblast</t>
  </si>
  <si>
    <t>Sidorkin Aleksandr</t>
  </si>
  <si>
    <t>Open (10.11.1986)/32</t>
  </si>
  <si>
    <t>73,60</t>
  </si>
  <si>
    <t>Visotskiy Maksim</t>
  </si>
  <si>
    <t>Open (26.05.1987)/31</t>
  </si>
  <si>
    <t>82,20</t>
  </si>
  <si>
    <t>Kashkin Nikita</t>
  </si>
  <si>
    <t>Juniors 20-23 (21.02.1995)/23</t>
  </si>
  <si>
    <t>88,70</t>
  </si>
  <si>
    <t>Odintsovo/Moskovskaya oblast</t>
  </si>
  <si>
    <t>Snegkov Ilya</t>
  </si>
  <si>
    <t>Open (06.12.1989)/29</t>
  </si>
  <si>
    <t>90,00</t>
  </si>
  <si>
    <t>Odnovol Roman</t>
  </si>
  <si>
    <t>Masters 40-44 (21.07.1977)/41</t>
  </si>
  <si>
    <t>88,30</t>
  </si>
  <si>
    <t>Lugansk/Luganskaya oblast</t>
  </si>
  <si>
    <t>187,5</t>
  </si>
  <si>
    <t>Akhmedov Asaf</t>
  </si>
  <si>
    <t>Masters 50-54 (23.07.1965)/53</t>
  </si>
  <si>
    <t>84,60</t>
  </si>
  <si>
    <t>Lazarev Denis</t>
  </si>
  <si>
    <t>Teen 13-15 (02.09.2003)/15</t>
  </si>
  <si>
    <t>97,70</t>
  </si>
  <si>
    <t>Komarov Vyacheslav</t>
  </si>
  <si>
    <t>Open (11.11.1992)/26</t>
  </si>
  <si>
    <t>Kubinka/Moskovskaya oblast</t>
  </si>
  <si>
    <t>Zhoglo Yuriy</t>
  </si>
  <si>
    <t>Open (29.04.1990)/28</t>
  </si>
  <si>
    <t>98,60</t>
  </si>
  <si>
    <t>Engels/Saratovskaya oblast</t>
  </si>
  <si>
    <t>Belov Anton</t>
  </si>
  <si>
    <t>Open (24.03.1985)/33</t>
  </si>
  <si>
    <t>97,80</t>
  </si>
  <si>
    <t>Trifonov Alexander</t>
  </si>
  <si>
    <t>Masters 40-44 (04.12.1976)/42</t>
  </si>
  <si>
    <t>98,90</t>
  </si>
  <si>
    <t>Titkov Sergey</t>
  </si>
  <si>
    <t>Masters 45-49 (22.09.1973)/45</t>
  </si>
  <si>
    <t>94,70</t>
  </si>
  <si>
    <t>Aliev Natig</t>
  </si>
  <si>
    <t>Masters 50-54 (07.02.1964)/54</t>
  </si>
  <si>
    <t>96,50</t>
  </si>
  <si>
    <t>Khimki/Moskovskaya oblast</t>
  </si>
  <si>
    <t>Petrov Aleksandr</t>
  </si>
  <si>
    <t>Masters 55-59 (17.07.1960)/58</t>
  </si>
  <si>
    <t>97,30</t>
  </si>
  <si>
    <t>Kiryanov Aleksandr</t>
  </si>
  <si>
    <t>Open (15.04.1975)/43</t>
  </si>
  <si>
    <t>Abdulayev Bakhtiyar</t>
  </si>
  <si>
    <t>Open (24.07.1981)/37</t>
  </si>
  <si>
    <t>109,00</t>
  </si>
  <si>
    <t>AZR</t>
  </si>
  <si>
    <t>Azerbaidjan</t>
  </si>
  <si>
    <t>Pechnykov Artem</t>
  </si>
  <si>
    <t>Open (16.03.1988)/30</t>
  </si>
  <si>
    <t>108,20</t>
  </si>
  <si>
    <t>Moskovskiy/Moskovskaya oblast</t>
  </si>
  <si>
    <t>Denisyuk Alexey</t>
  </si>
  <si>
    <t>Open (04.04.1987)/31</t>
  </si>
  <si>
    <t>104,40</t>
  </si>
  <si>
    <t>Torzhok/Tverskaya oblast</t>
  </si>
  <si>
    <t>Zaykin Andrey</t>
  </si>
  <si>
    <t>Open (21.01.1984)/34</t>
  </si>
  <si>
    <t>107,70</t>
  </si>
  <si>
    <t>Ovechkin Maksim</t>
  </si>
  <si>
    <t>Masters 40-44 (02.05.1976)/42</t>
  </si>
  <si>
    <t>108,10</t>
  </si>
  <si>
    <t>Ilyin Andrey</t>
  </si>
  <si>
    <t>Masters 40-44 (28.06.1976)/42</t>
  </si>
  <si>
    <t>107,00</t>
  </si>
  <si>
    <t>Kabantseff Andrei</t>
  </si>
  <si>
    <t>Masters 40-44 (20.11.1976)/42</t>
  </si>
  <si>
    <t>104,70</t>
  </si>
  <si>
    <t>Estonia</t>
  </si>
  <si>
    <t>Faezirazi Sam</t>
  </si>
  <si>
    <t>Masters 45-49 (22.08.1971)/47</t>
  </si>
  <si>
    <t>107,40</t>
  </si>
  <si>
    <t>Azartsov Alexey</t>
  </si>
  <si>
    <t>Masters 45-49 (03.02.1973)/45</t>
  </si>
  <si>
    <t>106,70</t>
  </si>
  <si>
    <t>Berman Iakov</t>
  </si>
  <si>
    <t>Open (22.06.1972)/46</t>
  </si>
  <si>
    <t>111,00</t>
  </si>
  <si>
    <t>Israel</t>
  </si>
  <si>
    <t>Masters 45-49 (22.06.1972)/46</t>
  </si>
  <si>
    <t>Shishov Alexey</t>
  </si>
  <si>
    <t>Masters 45-49 (21.03.1973)/45</t>
  </si>
  <si>
    <t>122,30</t>
  </si>
  <si>
    <t>Tula/Tulskaya oblast</t>
  </si>
  <si>
    <t>Bogomaz Petr</t>
  </si>
  <si>
    <t>Masters 60-64 (24.05.1957)/61</t>
  </si>
  <si>
    <t>122,00</t>
  </si>
  <si>
    <t>Matveyev Kurgan/Rostovskaya oblast</t>
  </si>
  <si>
    <t>Gunyashev A.N.</t>
  </si>
  <si>
    <t>Mironov Sergey</t>
  </si>
  <si>
    <t>Masters 45-49 (09.07.1973)/45</t>
  </si>
  <si>
    <t>129,50</t>
  </si>
  <si>
    <t>Zhukovskiy/Moskovskaya oblast</t>
  </si>
  <si>
    <t>128,5570</t>
  </si>
  <si>
    <t>52</t>
  </si>
  <si>
    <t>79,0930</t>
  </si>
  <si>
    <t>44</t>
  </si>
  <si>
    <t>38,5530</t>
  </si>
  <si>
    <t>39,3241</t>
  </si>
  <si>
    <t>Teenagers</t>
  </si>
  <si>
    <t>Teen 13-15</t>
  </si>
  <si>
    <t>57,7900</t>
  </si>
  <si>
    <t>54,9150</t>
  </si>
  <si>
    <t>50,1285</t>
  </si>
  <si>
    <t>46,9720</t>
  </si>
  <si>
    <t>104,8645</t>
  </si>
  <si>
    <t>75,8050</t>
  </si>
  <si>
    <t>135,7920</t>
  </si>
  <si>
    <t>122,3700</t>
  </si>
  <si>
    <t>118,4295</t>
  </si>
  <si>
    <t>116,9100</t>
  </si>
  <si>
    <t>111,6270</t>
  </si>
  <si>
    <t>106,6090</t>
  </si>
  <si>
    <t>100,5358</t>
  </si>
  <si>
    <t>99,4160</t>
  </si>
  <si>
    <t>94,6553</t>
  </si>
  <si>
    <t>80,7687</t>
  </si>
  <si>
    <t>76,8130</t>
  </si>
  <si>
    <t>144,2918</t>
  </si>
  <si>
    <t>Masters 50-54</t>
  </si>
  <si>
    <t>138,6376</t>
  </si>
  <si>
    <t>Masters 60-64</t>
  </si>
  <si>
    <t>119,9567</t>
  </si>
  <si>
    <t>119,8187</t>
  </si>
  <si>
    <t>116,1675</t>
  </si>
  <si>
    <t>112,4382</t>
  </si>
  <si>
    <t>112,4342</t>
  </si>
  <si>
    <t>107,8659</t>
  </si>
  <si>
    <t>104,1196</t>
  </si>
  <si>
    <t>101,4105</t>
  </si>
  <si>
    <t>94,6847</t>
  </si>
  <si>
    <t>91,9348</t>
  </si>
  <si>
    <t>88,0070</t>
  </si>
  <si>
    <t>86,8080</t>
  </si>
  <si>
    <t>65,8758</t>
  </si>
  <si>
    <t>Akimov Denis</t>
  </si>
  <si>
    <t>Open (28.07.1988)/30</t>
  </si>
  <si>
    <t>81,20</t>
  </si>
  <si>
    <t>akuna matata</t>
  </si>
  <si>
    <t>Klevanniy Petr</t>
  </si>
  <si>
    <t>Open (11.11.1980)/38</t>
  </si>
  <si>
    <t>88,90</t>
  </si>
  <si>
    <t>Kaliningrad/Kaliningradskaya oblast</t>
  </si>
  <si>
    <t>Anfarovich Aleksandr</t>
  </si>
  <si>
    <t>Masters 55-59 (03.12.1961)/57</t>
  </si>
  <si>
    <t>82,70</t>
  </si>
  <si>
    <t>Gatchina/Leningradskaya oblast</t>
  </si>
  <si>
    <t>Kravtsov Konstantin</t>
  </si>
  <si>
    <t>Open (26.10.1982)/36</t>
  </si>
  <si>
    <t>132,0638</t>
  </si>
  <si>
    <t>104,2080</t>
  </si>
  <si>
    <t>97,9302</t>
  </si>
  <si>
    <t>Starodubskiy Sergey</t>
  </si>
  <si>
    <t>Masters 40-44 (20.12.1977)/41</t>
  </si>
  <si>
    <t>122,40</t>
  </si>
  <si>
    <t>Taganrog/Rostovskaya oblast</t>
  </si>
  <si>
    <t>287,5</t>
  </si>
  <si>
    <t>159,2562</t>
  </si>
  <si>
    <t>Body Weight Category  48</t>
  </si>
  <si>
    <t>Avdeeva Kseniya</t>
  </si>
  <si>
    <t>Open (21.01.1993)/25</t>
  </si>
  <si>
    <t>46,70</t>
  </si>
  <si>
    <t>Yekaterinburg/Sverdlovskaya oblast</t>
  </si>
  <si>
    <t>42,5</t>
  </si>
  <si>
    <t>Litvinov S.Yu.</t>
  </si>
  <si>
    <t>Basantsov Dmitriy</t>
  </si>
  <si>
    <t>Juniors 20-23 (11.08.1997)/21</t>
  </si>
  <si>
    <t>Maykop/Adygeya</t>
  </si>
  <si>
    <t>77,5</t>
  </si>
  <si>
    <t>Papenko Denis</t>
  </si>
  <si>
    <t>Juniors 20-23 (07.04.1997)/21</t>
  </si>
  <si>
    <t>66,60</t>
  </si>
  <si>
    <t>232,5</t>
  </si>
  <si>
    <t>Anisimov Valeriy</t>
  </si>
  <si>
    <t>Juniors 20-23 (21.03.1998)/20</t>
  </si>
  <si>
    <t>74,10</t>
  </si>
  <si>
    <t>117,5</t>
  </si>
  <si>
    <t>207,5</t>
  </si>
  <si>
    <t>Osokin Alexandr</t>
  </si>
  <si>
    <t>Juniors 20-23 (22.03.1995)/23</t>
  </si>
  <si>
    <t>Patil Varad</t>
  </si>
  <si>
    <t>Open (06.06.1988)/30</t>
  </si>
  <si>
    <t>74,00</t>
  </si>
  <si>
    <t>Orlov Sergey</t>
  </si>
  <si>
    <t>Open (15.06.1989)/29</t>
  </si>
  <si>
    <t>Drozdov Nikita</t>
  </si>
  <si>
    <t>Open (18.01.1987)/31</t>
  </si>
  <si>
    <t>80,10</t>
  </si>
  <si>
    <t>152,5</t>
  </si>
  <si>
    <t>Ushakov Maksim</t>
  </si>
  <si>
    <t>Masters 45-49 (22.05.1973)/45</t>
  </si>
  <si>
    <t>79,50</t>
  </si>
  <si>
    <t>Chalenko Viktor</t>
  </si>
  <si>
    <t>Open (04.12.1987)/31</t>
  </si>
  <si>
    <t>Krasnoznamensk/Moskovskaya oblast</t>
  </si>
  <si>
    <t>247,5</t>
  </si>
  <si>
    <t>252,5</t>
  </si>
  <si>
    <t>Gerchoglo Pavel</t>
  </si>
  <si>
    <t>Open (10.08.1989)/29</t>
  </si>
  <si>
    <t>Savelyev Denis</t>
  </si>
  <si>
    <t>Open (14.03.1983)/35</t>
  </si>
  <si>
    <t>88,60</t>
  </si>
  <si>
    <t>smirnov team</t>
  </si>
  <si>
    <t>Dmitrov/Moskovskaya oblast</t>
  </si>
  <si>
    <t>Lovyagin Sergey</t>
  </si>
  <si>
    <t>Open (30.08.1984)/34</t>
  </si>
  <si>
    <t>88,10</t>
  </si>
  <si>
    <t>Rossiya</t>
  </si>
  <si>
    <t>Chekhov/Moskovskaya oblast</t>
  </si>
  <si>
    <t>Akopyan Arsen</t>
  </si>
  <si>
    <t>Masters 45-49 (23.06.1970)/48</t>
  </si>
  <si>
    <t>Kaminskiy Evgeniy</t>
  </si>
  <si>
    <t>Open (07.06.1991)/27</t>
  </si>
  <si>
    <t>92,80</t>
  </si>
  <si>
    <t>Arsenov Alexey</t>
  </si>
  <si>
    <t>Open (02.12.1982)/36</t>
  </si>
  <si>
    <t>98,30</t>
  </si>
  <si>
    <t>Shulga Denis</t>
  </si>
  <si>
    <t>Masters 40-44 (23.01.1978)/40</t>
  </si>
  <si>
    <t>95,40</t>
  </si>
  <si>
    <t>Monahov Evgeniy</t>
  </si>
  <si>
    <t>Masters 45-49 (23.11.1972)/46</t>
  </si>
  <si>
    <t>99,30</t>
  </si>
  <si>
    <t>Klin/Moskovskaya oblast</t>
  </si>
  <si>
    <t>Nagaybakov Mikhail</t>
  </si>
  <si>
    <t>Masters 65-69 (25.03.1953)/65</t>
  </si>
  <si>
    <t>95,80</t>
  </si>
  <si>
    <t>Kazakhstan</t>
  </si>
  <si>
    <t>Kuznetsov Ivan</t>
  </si>
  <si>
    <t>Open (16.11.1984)/34</t>
  </si>
  <si>
    <t>101,10</t>
  </si>
  <si>
    <t>Polevoj Anatoliy</t>
  </si>
  <si>
    <t>Open (04.10.1990)/28</t>
  </si>
  <si>
    <t>116,90</t>
  </si>
  <si>
    <t>Volgograd/Volgogradskaya oblast</t>
  </si>
  <si>
    <t>Vershinin Igor</t>
  </si>
  <si>
    <t>Masters 45-49 (12.01.1973)/45</t>
  </si>
  <si>
    <t>123,00</t>
  </si>
  <si>
    <t>48</t>
  </si>
  <si>
    <t>240,7600</t>
  </si>
  <si>
    <t>517,5</t>
  </si>
  <si>
    <t>391,7734</t>
  </si>
  <si>
    <t>532,5</t>
  </si>
  <si>
    <t>369,9278</t>
  </si>
  <si>
    <t>367,5</t>
  </si>
  <si>
    <t>309,0859</t>
  </si>
  <si>
    <t>430,0</t>
  </si>
  <si>
    <t>296,3560</t>
  </si>
  <si>
    <t>760,0</t>
  </si>
  <si>
    <t>421,1540</t>
  </si>
  <si>
    <t>657,5</t>
  </si>
  <si>
    <t>395,7821</t>
  </si>
  <si>
    <t>565,0</t>
  </si>
  <si>
    <t>392,9293</t>
  </si>
  <si>
    <t>635,0</t>
  </si>
  <si>
    <t>389,9852</t>
  </si>
  <si>
    <t>612,5</t>
  </si>
  <si>
    <t>374,7581</t>
  </si>
  <si>
    <t>336,7200</t>
  </si>
  <si>
    <t>319,4527</t>
  </si>
  <si>
    <t>500,0</t>
  </si>
  <si>
    <t>289,3750</t>
  </si>
  <si>
    <t>432,5</t>
  </si>
  <si>
    <t>284,2822</t>
  </si>
  <si>
    <t>705,0</t>
  </si>
  <si>
    <t>407,4028</t>
  </si>
  <si>
    <t>652,5</t>
  </si>
  <si>
    <t>406,3101</t>
  </si>
  <si>
    <t>525,0</t>
  </si>
  <si>
    <t>352,3797</t>
  </si>
  <si>
    <t>Masters 65-69</t>
  </si>
  <si>
    <t>370,0</t>
  </si>
  <si>
    <t>324,4804</t>
  </si>
  <si>
    <t>482,5</t>
  </si>
  <si>
    <t>286,4844</t>
  </si>
  <si>
    <t>395,0</t>
  </si>
  <si>
    <t>275,2885</t>
  </si>
  <si>
    <t>Dabhani Bhavesh</t>
  </si>
  <si>
    <t>Juniors 20-23 (17.05.1995)/23</t>
  </si>
  <si>
    <t>82,10</t>
  </si>
  <si>
    <t>550,0</t>
  </si>
  <si>
    <t>355,6575</t>
  </si>
  <si>
    <t>Babaeva Tatyana</t>
  </si>
  <si>
    <t>Open (15.02.2000)/18</t>
  </si>
  <si>
    <t>48,00</t>
  </si>
  <si>
    <t>Polyakova Nina</t>
  </si>
  <si>
    <t>Open (12.10.1989)/29</t>
  </si>
  <si>
    <t>51,30</t>
  </si>
  <si>
    <t>Sergeeva Olga</t>
  </si>
  <si>
    <t>Open (16.09.1993)/25</t>
  </si>
  <si>
    <t>55,60</t>
  </si>
  <si>
    <t>62,5</t>
  </si>
  <si>
    <t>Verenikina Mariya</t>
  </si>
  <si>
    <t>Open (14.10.1985)/33</t>
  </si>
  <si>
    <t>Smirnova Lyubov</t>
  </si>
  <si>
    <t>Open (06.09.1999)/19</t>
  </si>
  <si>
    <t>52,60</t>
  </si>
  <si>
    <t>47,5</t>
  </si>
  <si>
    <t>Chinchiley Anastasiya</t>
  </si>
  <si>
    <t>Juniors 20-23 (06.10.1997)/21</t>
  </si>
  <si>
    <t>58,60</t>
  </si>
  <si>
    <t>Solnechnogorsk/Moskovskaya oblast</t>
  </si>
  <si>
    <t>52,5</t>
  </si>
  <si>
    <t>Orlova Mariya</t>
  </si>
  <si>
    <t>Open (28.04.1986)/32</t>
  </si>
  <si>
    <t>57,60</t>
  </si>
  <si>
    <t>37,5</t>
  </si>
  <si>
    <t>Koroleva Sofia</t>
  </si>
  <si>
    <t>Teen 16-17 (13.07.2001)/17</t>
  </si>
  <si>
    <t>63,80</t>
  </si>
  <si>
    <t>Lytkarino/Moskovskaya oblast</t>
  </si>
  <si>
    <t>Mindlina Anastasiya</t>
  </si>
  <si>
    <t>Juniors 20-23 (09.06.1996)/22</t>
  </si>
  <si>
    <t>65,30</t>
  </si>
  <si>
    <t>Zelenograd/Moskovskaya oblast</t>
  </si>
  <si>
    <t>Lukyanova Marina</t>
  </si>
  <si>
    <t>Open (09.02.1972)/46</t>
  </si>
  <si>
    <t>65,20</t>
  </si>
  <si>
    <t>97,5</t>
  </si>
  <si>
    <t>Makarova Yuliya</t>
  </si>
  <si>
    <t>Masters 45-49 (30.06.1969)/49</t>
  </si>
  <si>
    <t>65,10</t>
  </si>
  <si>
    <t>Suntsova Marina</t>
  </si>
  <si>
    <t>Open (23.12.1985)/33</t>
  </si>
  <si>
    <t>72,30</t>
  </si>
  <si>
    <t>Zheleznodorozhnyy/Moskovskaya oblast</t>
  </si>
  <si>
    <t>Nyktieva Marina</t>
  </si>
  <si>
    <t>Open (02.01.1988)/30</t>
  </si>
  <si>
    <t>69,50</t>
  </si>
  <si>
    <t>Korobeynikov Nikita</t>
  </si>
  <si>
    <t>Teen 13-15 (09.08.2006)/12</t>
  </si>
  <si>
    <t>40,00</t>
  </si>
  <si>
    <t>Kuznetsov Aleksandr</t>
  </si>
  <si>
    <t>Open (16.12.1993)/25</t>
  </si>
  <si>
    <t>59,20</t>
  </si>
  <si>
    <t>Bekov Abbos</t>
  </si>
  <si>
    <t>Open (22.07.1993)/25</t>
  </si>
  <si>
    <t>60,00</t>
  </si>
  <si>
    <t>Ungakov Grigoriy</t>
  </si>
  <si>
    <t>Teen 13-15 (09.04.2003)/15</t>
  </si>
  <si>
    <t>62,90</t>
  </si>
  <si>
    <t>Bogomaz Daniil</t>
  </si>
  <si>
    <t>Teen 13-15 (28.10.2004)/14</t>
  </si>
  <si>
    <t>62,00</t>
  </si>
  <si>
    <t>Zaharov Evgeniy</t>
  </si>
  <si>
    <t>Open (20.08.1990)/28</t>
  </si>
  <si>
    <t>67,20</t>
  </si>
  <si>
    <t>Nudniy Ivan</t>
  </si>
  <si>
    <t>Open (13.04.1993)/25</t>
  </si>
  <si>
    <t>67,00</t>
  </si>
  <si>
    <t>Chubatiy Evgeniy</t>
  </si>
  <si>
    <t>Open (07.11.1990)/28</t>
  </si>
  <si>
    <t>65,40</t>
  </si>
  <si>
    <t>UPfitness</t>
  </si>
  <si>
    <t>Shentsev Denis</t>
  </si>
  <si>
    <t>Open (08.01.1988)/30</t>
  </si>
  <si>
    <t>66,70</t>
  </si>
  <si>
    <t>82,5</t>
  </si>
  <si>
    <t>Zalozhnev Kirill</t>
  </si>
  <si>
    <t>Juniors 20-23 (09.05.1998)/20</t>
  </si>
  <si>
    <t>72,70</t>
  </si>
  <si>
    <t>Gurtovoi Maksim</t>
  </si>
  <si>
    <t>Open (27.11.1984)/34</t>
  </si>
  <si>
    <t>72,20</t>
  </si>
  <si>
    <t>Karpov Ivan</t>
  </si>
  <si>
    <t>Open (09.12.1987)/31</t>
  </si>
  <si>
    <t>Deev Alexandr</t>
  </si>
  <si>
    <t>Open (22.07.1986)/32</t>
  </si>
  <si>
    <t>74,50</t>
  </si>
  <si>
    <t>Mokrushin Sergey</t>
  </si>
  <si>
    <t>Open (25.07.1984)/34</t>
  </si>
  <si>
    <t>74,60</t>
  </si>
  <si>
    <t>Volikov Alexander</t>
  </si>
  <si>
    <t>Open (03.01.1989)/29</t>
  </si>
  <si>
    <t>72,60</t>
  </si>
  <si>
    <t>Yushin Vladimir</t>
  </si>
  <si>
    <t>Open (16.06.1993)/25</t>
  </si>
  <si>
    <t>Daniyelyan S.A.</t>
  </si>
  <si>
    <t>Sivkov Artashes</t>
  </si>
  <si>
    <t>Open (26.06.1982)/36</t>
  </si>
  <si>
    <t>73,80</t>
  </si>
  <si>
    <t>Gurkovskiy Sergey</t>
  </si>
  <si>
    <t>Open (17.08.1990)/28</t>
  </si>
  <si>
    <t>81,50</t>
  </si>
  <si>
    <t>Kasatkin Dmirtiy</t>
  </si>
  <si>
    <t>Open (08.06.1981)/37</t>
  </si>
  <si>
    <t>80,00</t>
  </si>
  <si>
    <t>Ryazan/Ryazanskaya oblast</t>
  </si>
  <si>
    <t>Rogachev Igor</t>
  </si>
  <si>
    <t>Open (07.08.1994)/24</t>
  </si>
  <si>
    <t>82,00</t>
  </si>
  <si>
    <t>Silivonec Vladimir</t>
  </si>
  <si>
    <t>Open (22.04.1986)/32</t>
  </si>
  <si>
    <t>81,40</t>
  </si>
  <si>
    <t>Avdonin Denis</t>
  </si>
  <si>
    <t>Open (15.09.1990)/28</t>
  </si>
  <si>
    <t>81,00</t>
  </si>
  <si>
    <t>Izmaylov Renat</t>
  </si>
  <si>
    <t>Open (01.12.1993)/25</t>
  </si>
  <si>
    <t>80,40</t>
  </si>
  <si>
    <t>Golubotskikh Pavel</t>
  </si>
  <si>
    <t>Open (09.08.1985)/33</t>
  </si>
  <si>
    <t>80,50</t>
  </si>
  <si>
    <t>Buslayev Sergey</t>
  </si>
  <si>
    <t>Open (09.07.1991)/27</t>
  </si>
  <si>
    <t>81,10</t>
  </si>
  <si>
    <t>Sergeev Dmitriy</t>
  </si>
  <si>
    <t>Open (12.02.1987)/31</t>
  </si>
  <si>
    <t>80,90</t>
  </si>
  <si>
    <t>Martsenyuk Ivan</t>
  </si>
  <si>
    <t>Open (19.02.1988)/30</t>
  </si>
  <si>
    <t>Afonin Maksim</t>
  </si>
  <si>
    <t>Masters 40-44 (22.07.1975)/43</t>
  </si>
  <si>
    <t>Evlashev Dmitriy</t>
  </si>
  <si>
    <t>Masters 50-54 (21.03.1967)/51</t>
  </si>
  <si>
    <t>78,50</t>
  </si>
  <si>
    <t>Nizhniy Novgorod/Nizhegorodskaya oblast</t>
  </si>
  <si>
    <t>Marian Samir-Alexandru</t>
  </si>
  <si>
    <t>Juniors 20-23 (26.06.1998)/20</t>
  </si>
  <si>
    <t>89,90</t>
  </si>
  <si>
    <t>Moldova</t>
  </si>
  <si>
    <t>Gursimran Singh</t>
  </si>
  <si>
    <t>Juniors 20-23 (22.07.1998)/20</t>
  </si>
  <si>
    <t>Strizhakov Ilya</t>
  </si>
  <si>
    <t>Open (28.04.1994)/24</t>
  </si>
  <si>
    <t>Almaty/Almatinskaya oblast</t>
  </si>
  <si>
    <t>Kamshilin Dmitriy</t>
  </si>
  <si>
    <t>Open (20.06.1984)/34</t>
  </si>
  <si>
    <t>89,70</t>
  </si>
  <si>
    <t>Suharev Igor</t>
  </si>
  <si>
    <t>Open (20.12.1989)/29</t>
  </si>
  <si>
    <t>Fryazino/Moskovskaya oblast</t>
  </si>
  <si>
    <t>Osipov David</t>
  </si>
  <si>
    <t>Open (03.02.1994)/24</t>
  </si>
  <si>
    <t>88,20</t>
  </si>
  <si>
    <t>Markin Daniil</t>
  </si>
  <si>
    <t>Open (22.12.1990)/28</t>
  </si>
  <si>
    <t>87,50</t>
  </si>
  <si>
    <t>Sverdlov Dmitriy</t>
  </si>
  <si>
    <t>Open (20.04.1990)/28</t>
  </si>
  <si>
    <t>Tver/Tverskaya oblast</t>
  </si>
  <si>
    <t>Bastamov Vladimir</t>
  </si>
  <si>
    <t>Open (18.11.1988)/30</t>
  </si>
  <si>
    <t>Rachkov Alexey</t>
  </si>
  <si>
    <t>Open (13.05.1984)/34</t>
  </si>
  <si>
    <t>Solovyov Evgeniy</t>
  </si>
  <si>
    <t>Open (07.07.1989)/29</t>
  </si>
  <si>
    <t>89,30</t>
  </si>
  <si>
    <t>Volkov Vyacheslav</t>
  </si>
  <si>
    <t>Masters 45-49 (13.11.1971)/47</t>
  </si>
  <si>
    <t>Sorokin Gennadiy</t>
  </si>
  <si>
    <t>Masters 55-59 (08.09.1959)/59</t>
  </si>
  <si>
    <t>89,80</t>
  </si>
  <si>
    <t>Serdykov Ivan</t>
  </si>
  <si>
    <t>Juniors 20-23 (07.07.1995)/23</t>
  </si>
  <si>
    <t>100,00</t>
  </si>
  <si>
    <t>Izmaylov Ruslan</t>
  </si>
  <si>
    <t>Juniors 20-23 (18.01.1997)/21</t>
  </si>
  <si>
    <t>97,50</t>
  </si>
  <si>
    <t>Makarkin Andrey</t>
  </si>
  <si>
    <t>Open (20.02.1980)/38</t>
  </si>
  <si>
    <t>Smorodinov Yuriy</t>
  </si>
  <si>
    <t>Open (13.12.1982)/36</t>
  </si>
  <si>
    <t>98,10</t>
  </si>
  <si>
    <t>Babenkov Andrey</t>
  </si>
  <si>
    <t>Open (16.07.1991)/27</t>
  </si>
  <si>
    <t>91,70</t>
  </si>
  <si>
    <t>Zubr</t>
  </si>
  <si>
    <t>Pigrov Sergey</t>
  </si>
  <si>
    <t>Masters 40-44 (03.06.1978)/40</t>
  </si>
  <si>
    <t>95,30</t>
  </si>
  <si>
    <t>Serov Aleksandr</t>
  </si>
  <si>
    <t>Masters 40-44 (25.09.1974)/44</t>
  </si>
  <si>
    <t>97,90</t>
  </si>
  <si>
    <t>Kondrushin Andrey</t>
  </si>
  <si>
    <t>Masters 40-44 (20.10.1976)/42</t>
  </si>
  <si>
    <t>94,00</t>
  </si>
  <si>
    <t>Lebedev Igor</t>
  </si>
  <si>
    <t>Masters 40-44 (11.02.1977)/41</t>
  </si>
  <si>
    <t>Lileev Alexey</t>
  </si>
  <si>
    <t>Masters 45-49 (03.09.1972)/46</t>
  </si>
  <si>
    <t>Korneev Igor</t>
  </si>
  <si>
    <t>Open (05.06.1981)/37</t>
  </si>
  <si>
    <t>106,40</t>
  </si>
  <si>
    <t>Markov Aleksey</t>
  </si>
  <si>
    <t>Masters 40-44 (26.02.1977)/41</t>
  </si>
  <si>
    <t>106,60</t>
  </si>
  <si>
    <t>Gruntov Victor</t>
  </si>
  <si>
    <t>Masters 45-49 (27.05.1972)/46</t>
  </si>
  <si>
    <t>Bezpalenko Artem</t>
  </si>
  <si>
    <t>Open (21.03.1990)/28</t>
  </si>
  <si>
    <t>111,80</t>
  </si>
  <si>
    <t>Seleznev Vladimir</t>
  </si>
  <si>
    <t>Open (09.05.1977)/41</t>
  </si>
  <si>
    <t>123,60</t>
  </si>
  <si>
    <t>Popov Artur</t>
  </si>
  <si>
    <t>Open (08.09.1993)/25</t>
  </si>
  <si>
    <t>122,50</t>
  </si>
  <si>
    <t>Korzinkin Vadim</t>
  </si>
  <si>
    <t>Open (26.03.1983)/35</t>
  </si>
  <si>
    <t>119,40</t>
  </si>
  <si>
    <t>Masters 40-44 (09.05.1977)/41</t>
  </si>
  <si>
    <t>Gnezdilov Sergey</t>
  </si>
  <si>
    <t>Masters 40-44 (21.07.1974)/44</t>
  </si>
  <si>
    <t>116,00</t>
  </si>
  <si>
    <t>Bichkov Igor</t>
  </si>
  <si>
    <t>Masters 45-49 (18.06.1970)/48</t>
  </si>
  <si>
    <t>116,40</t>
  </si>
  <si>
    <t>Belikov Alexey</t>
  </si>
  <si>
    <t>Masters 40-44 (28.10.1977)/41</t>
  </si>
  <si>
    <t>137,50</t>
  </si>
  <si>
    <t>182,5</t>
  </si>
  <si>
    <t>Teen 16-17</t>
  </si>
  <si>
    <t>56,4240</t>
  </si>
  <si>
    <t>80,7844</t>
  </si>
  <si>
    <t>57,8738</t>
  </si>
  <si>
    <t>94,7510</t>
  </si>
  <si>
    <t>82,5300</t>
  </si>
  <si>
    <t>65,6250</t>
  </si>
  <si>
    <t>60,0005</t>
  </si>
  <si>
    <t>55,9750</t>
  </si>
  <si>
    <t>49,3875</t>
  </si>
  <si>
    <t>39,6383</t>
  </si>
  <si>
    <t>33,1662</t>
  </si>
  <si>
    <t>77,2561</t>
  </si>
  <si>
    <t>66,2175</t>
  </si>
  <si>
    <t>63,7240</t>
  </si>
  <si>
    <t>46,4169</t>
  </si>
  <si>
    <t>98,8210</t>
  </si>
  <si>
    <t>93,3681</t>
  </si>
  <si>
    <t>88,1625</t>
  </si>
  <si>
    <t>84,5820</t>
  </si>
  <si>
    <t>78,0109</t>
  </si>
  <si>
    <t>112,2371</t>
  </si>
  <si>
    <t>109,7135</t>
  </si>
  <si>
    <t>107,0531</t>
  </si>
  <si>
    <t>106,4095</t>
  </si>
  <si>
    <t>103,9600</t>
  </si>
  <si>
    <t>98,4780</t>
  </si>
  <si>
    <t>98,1801</t>
  </si>
  <si>
    <t>97,9095</t>
  </si>
  <si>
    <t>97,8599</t>
  </si>
  <si>
    <t>97,4394</t>
  </si>
  <si>
    <t>97,3233</t>
  </si>
  <si>
    <t>95,3810</t>
  </si>
  <si>
    <t>95,1424</t>
  </si>
  <si>
    <t>93,8367</t>
  </si>
  <si>
    <t>93,4133</t>
  </si>
  <si>
    <t>93,3188</t>
  </si>
  <si>
    <t>91,0350</t>
  </si>
  <si>
    <t>89,9704</t>
  </si>
  <si>
    <t>89,6981</t>
  </si>
  <si>
    <t>89,4433</t>
  </si>
  <si>
    <t>88,5128</t>
  </si>
  <si>
    <t>88,4317</t>
  </si>
  <si>
    <t>88,0555</t>
  </si>
  <si>
    <t>119,1639</t>
  </si>
  <si>
    <t>116,8075</t>
  </si>
  <si>
    <t>112,0476</t>
  </si>
  <si>
    <t>106,4885</t>
  </si>
  <si>
    <t>100,9927</t>
  </si>
  <si>
    <t>99,4628</t>
  </si>
  <si>
    <t>96,8078</t>
  </si>
  <si>
    <t>96,5250</t>
  </si>
  <si>
    <t>96,4671</t>
  </si>
  <si>
    <t>95,5299</t>
  </si>
  <si>
    <t>94,8408</t>
  </si>
  <si>
    <t>91,4940</t>
  </si>
  <si>
    <t>86,0217</t>
  </si>
  <si>
    <t>85,9149</t>
  </si>
  <si>
    <t>82,1688</t>
  </si>
  <si>
    <t>81,2469</t>
  </si>
  <si>
    <t>Simon Masih</t>
  </si>
  <si>
    <t>Teen 16-17 (15.03.2002)/16</t>
  </si>
  <si>
    <t>71,50</t>
  </si>
  <si>
    <t>Schuplov Alexey</t>
  </si>
  <si>
    <t>Open (11.09.1979)/39</t>
  </si>
  <si>
    <t>88,80</t>
  </si>
  <si>
    <t>Ukhta/Komi</t>
  </si>
  <si>
    <t>Figol Alexey</t>
  </si>
  <si>
    <t>Open (26.01.1973)/45</t>
  </si>
  <si>
    <t>119,6034</t>
  </si>
  <si>
    <t>132,5368</t>
  </si>
  <si>
    <t>107,0738</t>
  </si>
  <si>
    <t>Majiziya Bhanu</t>
  </si>
  <si>
    <t>Open (01.12.1990)/28</t>
  </si>
  <si>
    <t>54,60</t>
  </si>
  <si>
    <t>Ablaeva Viktoriya</t>
  </si>
  <si>
    <t>Open (08.05.1983)/35</t>
  </si>
  <si>
    <t>Popova Ekaterina</t>
  </si>
  <si>
    <t>Open (07.07.1979)/39</t>
  </si>
  <si>
    <t>78,10</t>
  </si>
  <si>
    <t>Chebotarev Artem</t>
  </si>
  <si>
    <t>Ahmed Aaniya</t>
  </si>
  <si>
    <t>Juniors 20-23 (12.04.1995)/23</t>
  </si>
  <si>
    <t>85,60</t>
  </si>
  <si>
    <t>Sukhobok Maksim</t>
  </si>
  <si>
    <t>Masters 50-54 (01.01.1965)/53</t>
  </si>
  <si>
    <t>64,80</t>
  </si>
  <si>
    <t>Stavropol/Stavropolskiy kray</t>
  </si>
  <si>
    <t>Maletskaya S.S., Kravtsov P.N.</t>
  </si>
  <si>
    <t>Sellyahov Evgeniy</t>
  </si>
  <si>
    <t>Juniors 20-23 (26.08.1996)/22</t>
  </si>
  <si>
    <t>81,30</t>
  </si>
  <si>
    <t>Mirnyy/Yakutiya</t>
  </si>
  <si>
    <t>Zubkov Pavel</t>
  </si>
  <si>
    <t>Open (22.12.1985)/33</t>
  </si>
  <si>
    <t>Amelchenkov Pavel</t>
  </si>
  <si>
    <t>Open (24.02.1984)/34</t>
  </si>
  <si>
    <t>80,60</t>
  </si>
  <si>
    <t>Volkov Denis</t>
  </si>
  <si>
    <t>Open (28.09.1988)/30</t>
  </si>
  <si>
    <t>83,70</t>
  </si>
  <si>
    <t>Kothari Sandeep</t>
  </si>
  <si>
    <t>Open (21.03.1979)/39</t>
  </si>
  <si>
    <t>109,50</t>
  </si>
  <si>
    <t>Ranjbar Mostafa</t>
  </si>
  <si>
    <t>Open (22.03.1990)/28</t>
  </si>
  <si>
    <t>110,90</t>
  </si>
  <si>
    <t>340,0</t>
  </si>
  <si>
    <t>377,5</t>
  </si>
  <si>
    <t>Demyanchuk Yuriy</t>
  </si>
  <si>
    <t>Masters 40-44 (03.10.1978)/40</t>
  </si>
  <si>
    <t>128,10</t>
  </si>
  <si>
    <t>Syzran/Samarskaya oblast</t>
  </si>
  <si>
    <t>Body Weight Category  140+</t>
  </si>
  <si>
    <t>Maheripourehir Peiman</t>
  </si>
  <si>
    <t>Open (10.05.1987)/31</t>
  </si>
  <si>
    <t>149,10</t>
  </si>
  <si>
    <t>392,5</t>
  </si>
  <si>
    <t>400,0</t>
  </si>
  <si>
    <t>405,0</t>
  </si>
  <si>
    <t>111,5412</t>
  </si>
  <si>
    <t>184,4485</t>
  </si>
  <si>
    <t>159,7950</t>
  </si>
  <si>
    <t>126,1932</t>
  </si>
  <si>
    <t>86,7442</t>
  </si>
  <si>
    <t>88,4791</t>
  </si>
  <si>
    <t>188,5785</t>
  </si>
  <si>
    <t>172,8300</t>
  </si>
  <si>
    <t>170,8350</t>
  </si>
  <si>
    <t>144,0295</t>
  </si>
  <si>
    <t>140+</t>
  </si>
  <si>
    <t>209,5500</t>
  </si>
  <si>
    <t>190,8080</t>
  </si>
  <si>
    <t>182,3640</t>
  </si>
  <si>
    <t>159,9535</t>
  </si>
  <si>
    <t>157,6585</t>
  </si>
  <si>
    <t>152,0640</t>
  </si>
  <si>
    <t>140,5140</t>
  </si>
  <si>
    <t>203,0540</t>
  </si>
  <si>
    <t>151,8188</t>
  </si>
  <si>
    <t>122,5812</t>
  </si>
  <si>
    <t>118,0791</t>
  </si>
  <si>
    <t>Kirillova Guzel</t>
  </si>
  <si>
    <t>Open (15.04.1987)/31</t>
  </si>
  <si>
    <t>43,70</t>
  </si>
  <si>
    <t>Kanafiyev N.</t>
  </si>
  <si>
    <t>Filippova Ekaterina</t>
  </si>
  <si>
    <t>Open (21.12.1985)/33</t>
  </si>
  <si>
    <t>43,40</t>
  </si>
  <si>
    <t>Maksimova Polina</t>
  </si>
  <si>
    <t>Open (25.08.1989)/29</t>
  </si>
  <si>
    <t>52,00</t>
  </si>
  <si>
    <t>Romanova Svetlana</t>
  </si>
  <si>
    <t>Masters 45-49 (25.07.1970)/48</t>
  </si>
  <si>
    <t>55,10</t>
  </si>
  <si>
    <t>Stupino/Moskovskaya oblast</t>
  </si>
  <si>
    <t>Starodubtseva Anastasiya</t>
  </si>
  <si>
    <t>Open (22.10.1992)/26</t>
  </si>
  <si>
    <t>57,90</t>
  </si>
  <si>
    <t>Shabalin M.N.</t>
  </si>
  <si>
    <t>Moskaeva Olga</t>
  </si>
  <si>
    <t>Open (18.10.1981)/37</t>
  </si>
  <si>
    <t>56,90</t>
  </si>
  <si>
    <t>Yakovleva Yana</t>
  </si>
  <si>
    <t>Open (02.02.1993)/25</t>
  </si>
  <si>
    <t>58,80</t>
  </si>
  <si>
    <t>Faturova Alexandra</t>
  </si>
  <si>
    <t>59,30</t>
  </si>
  <si>
    <t>Malisheva Anna</t>
  </si>
  <si>
    <t>Masters 40-44 (06.07.1978)/40</t>
  </si>
  <si>
    <t>Agaeva Anastasiya</t>
  </si>
  <si>
    <t>Teen 16-17 (20.06.2001)/17</t>
  </si>
  <si>
    <t>66,10</t>
  </si>
  <si>
    <t>Open (30.06.1969)/49</t>
  </si>
  <si>
    <t>Evgrafova Ekaterina</t>
  </si>
  <si>
    <t>Open (21.07.1982)/36</t>
  </si>
  <si>
    <t>63,30</t>
  </si>
  <si>
    <t>Mardonova Mariya</t>
  </si>
  <si>
    <t>Open (17.09.1979)/39</t>
  </si>
  <si>
    <t>69,90</t>
  </si>
  <si>
    <t>Zmievskaya Irina</t>
  </si>
  <si>
    <t>Open (17.11.1988)/30</t>
  </si>
  <si>
    <t>70,00</t>
  </si>
  <si>
    <t>Grigorovskaya Ekaterina</t>
  </si>
  <si>
    <t>Masters 45-49 (01.09.1969)/49</t>
  </si>
  <si>
    <t>71,90</t>
  </si>
  <si>
    <t>Solovyova Svetlana</t>
  </si>
  <si>
    <t>Masters 45-49 (16.06.1972)/46</t>
  </si>
  <si>
    <t>73,50</t>
  </si>
  <si>
    <t>Kamaletdinova Albina</t>
  </si>
  <si>
    <t>Masters 45-49 (24.01.1969)/49</t>
  </si>
  <si>
    <t>72,90</t>
  </si>
  <si>
    <t>Samsonova Anna</t>
  </si>
  <si>
    <t>Open (10.04.1983)/35</t>
  </si>
  <si>
    <t>Zakharov S.</t>
  </si>
  <si>
    <t>Belozerova Nataliya</t>
  </si>
  <si>
    <t>Open (02.04.1980)/38</t>
  </si>
  <si>
    <t>79,60</t>
  </si>
  <si>
    <t>Anahin Vadim</t>
  </si>
  <si>
    <t>Juniors 20-23 (30.08.1996)/22</t>
  </si>
  <si>
    <t>59,60</t>
  </si>
  <si>
    <t>Yakovlev Pavel</t>
  </si>
  <si>
    <t>Juniors 20-23 (06.06.1996)/22</t>
  </si>
  <si>
    <t>59,80</t>
  </si>
  <si>
    <t>Dellohov Dyulustan</t>
  </si>
  <si>
    <t>Juniors 20-23 (02.12.1996)/22</t>
  </si>
  <si>
    <t>73,90</t>
  </si>
  <si>
    <t>Dolgoprudnyy/Moskovskaya oblast</t>
  </si>
  <si>
    <t>202,5</t>
  </si>
  <si>
    <t>Lukonin Yuriy</t>
  </si>
  <si>
    <t>Open (27.04.1990)/28</t>
  </si>
  <si>
    <t>71,30</t>
  </si>
  <si>
    <t>Sosnovskiy Andrey</t>
  </si>
  <si>
    <t>Open (09.03.1987)/31</t>
  </si>
  <si>
    <t>Fomushkin Andrey</t>
  </si>
  <si>
    <t>Open (15.07.1994)/24</t>
  </si>
  <si>
    <t>Buyanov Mikhail</t>
  </si>
  <si>
    <t>Masters 40-44 (18.11.1974)/44</t>
  </si>
  <si>
    <t>74,40</t>
  </si>
  <si>
    <t>Shemelev Vladimir</t>
  </si>
  <si>
    <t>Masters 55-59 (02.04.1961)/57</t>
  </si>
  <si>
    <t>Votincev Mikhail</t>
  </si>
  <si>
    <t>Juniors 20-23 (15.12.1996)/22</t>
  </si>
  <si>
    <t>79,30</t>
  </si>
  <si>
    <t>Shevchenko Aleksey</t>
  </si>
  <si>
    <t>Open (27.07.1992)/26</t>
  </si>
  <si>
    <t>81,90</t>
  </si>
  <si>
    <t>Omsk/Omskaya oblast</t>
  </si>
  <si>
    <t>Bengardt Anton</t>
  </si>
  <si>
    <t>Open (15.01.1990)/28</t>
  </si>
  <si>
    <t>Barnaul/Altayskiy kray</t>
  </si>
  <si>
    <t>Sichevoy Dmitriy</t>
  </si>
  <si>
    <t>Open (02.03.1988)/30</t>
  </si>
  <si>
    <t>Skurtu Aleksandr</t>
  </si>
  <si>
    <t>Masters 45-49 (17.11.1973)/45</t>
  </si>
  <si>
    <t>82,50</t>
  </si>
  <si>
    <t>Voronezh/Voronezhskaya oblast</t>
  </si>
  <si>
    <t>Sibilev Evgeniy</t>
  </si>
  <si>
    <t>Masters 45-49 (08.03.1970)/48</t>
  </si>
  <si>
    <t>Noyabrsk/Yamalo-Nenetskiy avt. okr.</t>
  </si>
  <si>
    <t>Isaev Ivan</t>
  </si>
  <si>
    <t>Teen 18-19 (28.07.1999)/19</t>
  </si>
  <si>
    <t>86,40</t>
  </si>
  <si>
    <t>Gorbunov Sergey</t>
  </si>
  <si>
    <t>Open (13.11.1991)/27</t>
  </si>
  <si>
    <t>87,20</t>
  </si>
  <si>
    <t>Drezna/Moskovskaya oblast</t>
  </si>
  <si>
    <t>Lomanov Kirill</t>
  </si>
  <si>
    <t>Open (15.07.1987)/31</t>
  </si>
  <si>
    <t>312,5</t>
  </si>
  <si>
    <t>322,5</t>
  </si>
  <si>
    <t>Manko Ivan</t>
  </si>
  <si>
    <t>Masters 40-44 (16.03.1977)/41</t>
  </si>
  <si>
    <t>89,00</t>
  </si>
  <si>
    <t>Dyakin Artur</t>
  </si>
  <si>
    <t>Masters 50-54 (02.08.1966)/52</t>
  </si>
  <si>
    <t>Kobozev Nikolay</t>
  </si>
  <si>
    <t>Masters 60-64 (05.12.1957)/61</t>
  </si>
  <si>
    <t>Starodub/Bryanskaya oblast</t>
  </si>
  <si>
    <t>Khovanets Igor</t>
  </si>
  <si>
    <t>Masters 60-64 (07.01.1957)/61</t>
  </si>
  <si>
    <t>87,60</t>
  </si>
  <si>
    <t>Bulaev Igor</t>
  </si>
  <si>
    <t>Juniors 20-23 (13.04.1997)/21</t>
  </si>
  <si>
    <t>93,60</t>
  </si>
  <si>
    <t>Sergeev Oleg</t>
  </si>
  <si>
    <t>Open (26.04.1986)/32</t>
  </si>
  <si>
    <t>98,80</t>
  </si>
  <si>
    <t>Gordopolov Maxim</t>
  </si>
  <si>
    <t>Open (24.09.1987)/31</t>
  </si>
  <si>
    <t>92,60</t>
  </si>
  <si>
    <t>Mashoshin Oleg</t>
  </si>
  <si>
    <t>Open (21.02.1983)/35</t>
  </si>
  <si>
    <t>105,20</t>
  </si>
  <si>
    <t>Mhitaryan Yuriy</t>
  </si>
  <si>
    <t>Open (17.12.1982)/36</t>
  </si>
  <si>
    <t>119,60</t>
  </si>
  <si>
    <t>Lukyanov Sergey</t>
  </si>
  <si>
    <t>Masters 60-64 (25.10.1955)/63</t>
  </si>
  <si>
    <t>114,70</t>
  </si>
  <si>
    <t>Seleznev Stanislav</t>
  </si>
  <si>
    <t>Open (31.08.1981)/37</t>
  </si>
  <si>
    <t>151,40</t>
  </si>
  <si>
    <t>73,1600</t>
  </si>
  <si>
    <t>164,3460</t>
  </si>
  <si>
    <t>136,5000</t>
  </si>
  <si>
    <t>129,5700</t>
  </si>
  <si>
    <t>121,9560</t>
  </si>
  <si>
    <t>120,6880</t>
  </si>
  <si>
    <t>118,5190</t>
  </si>
  <si>
    <t>110,7600</t>
  </si>
  <si>
    <t>100,3700</t>
  </si>
  <si>
    <t>97,2026</t>
  </si>
  <si>
    <t>89,8938</t>
  </si>
  <si>
    <t>86,7790</t>
  </si>
  <si>
    <t>84,4568</t>
  </si>
  <si>
    <t>78,9570</t>
  </si>
  <si>
    <t>78,8805</t>
  </si>
  <si>
    <t>130,5087</t>
  </si>
  <si>
    <t>124,4840</t>
  </si>
  <si>
    <t>108,6360</t>
  </si>
  <si>
    <t>99,5702</t>
  </si>
  <si>
    <t>85,3752</t>
  </si>
  <si>
    <t>Teen 18-19</t>
  </si>
  <si>
    <t>97,0842</t>
  </si>
  <si>
    <t>176,0141</t>
  </si>
  <si>
    <t>155,0855</t>
  </si>
  <si>
    <t>144,1324</t>
  </si>
  <si>
    <t>140,9704</t>
  </si>
  <si>
    <t>135,6588</t>
  </si>
  <si>
    <t>134,5680</t>
  </si>
  <si>
    <t>125,8530</t>
  </si>
  <si>
    <t>189,6473</t>
  </si>
  <si>
    <t>165,1508</t>
  </si>
  <si>
    <t>165,0950</t>
  </si>
  <si>
    <t>156,6375</t>
  </si>
  <si>
    <t>152,6912</t>
  </si>
  <si>
    <t>150,6625</t>
  </si>
  <si>
    <t>148,9965</t>
  </si>
  <si>
    <t>143,5796</t>
  </si>
  <si>
    <t>139,6962</t>
  </si>
  <si>
    <t>136,4715</t>
  </si>
  <si>
    <t>134,0089</t>
  </si>
  <si>
    <t>122,6145</t>
  </si>
  <si>
    <t>113,9775</t>
  </si>
  <si>
    <t>178,7138</t>
  </si>
  <si>
    <t>175,3010</t>
  </si>
  <si>
    <t>158,9355</t>
  </si>
  <si>
    <t>146,2114</t>
  </si>
  <si>
    <t>142,3544</t>
  </si>
  <si>
    <t>138,3632</t>
  </si>
  <si>
    <t>136,0578</t>
  </si>
  <si>
    <t>132,8604</t>
  </si>
  <si>
    <t>129,4365</t>
  </si>
  <si>
    <t>122,7764</t>
  </si>
  <si>
    <t>Kingagulova Liliya</t>
  </si>
  <si>
    <t>Open (03.07.1973)/45</t>
  </si>
  <si>
    <t>Belousova Irina</t>
  </si>
  <si>
    <t>Open (01.11.1977)/41</t>
  </si>
  <si>
    <t>47,10</t>
  </si>
  <si>
    <t>Masters 45-49 (03.07.1973)/45</t>
  </si>
  <si>
    <t>Kurdykova Ekaterina</t>
  </si>
  <si>
    <t>Open (07.10.1981)/37</t>
  </si>
  <si>
    <t>73,30</t>
  </si>
  <si>
    <t>Ilyina Elena</t>
  </si>
  <si>
    <t>Open (06.04.1987)/31</t>
  </si>
  <si>
    <t>Smetankin Alexey</t>
  </si>
  <si>
    <t>Teen 13-15 (26.09.2008)/10</t>
  </si>
  <si>
    <t>Tulyakov N</t>
  </si>
  <si>
    <t>Singh Daljeet</t>
  </si>
  <si>
    <t>Open (01.10.1979)/39</t>
  </si>
  <si>
    <t>87,30</t>
  </si>
  <si>
    <t>Schekotov Igor</t>
  </si>
  <si>
    <t>Open (12.03.1987)/31</t>
  </si>
  <si>
    <t>86,60</t>
  </si>
  <si>
    <t>Vikasdeep Singh</t>
  </si>
  <si>
    <t>Juniors 20-23 (27.10.1998)/20</t>
  </si>
  <si>
    <t>Herjit Singh</t>
  </si>
  <si>
    <t>Open (21.10.1993)/25</t>
  </si>
  <si>
    <t>Grigoriev Ivan</t>
  </si>
  <si>
    <t>Open (22.04.1993)/25</t>
  </si>
  <si>
    <t>Tulyakov Nikita</t>
  </si>
  <si>
    <t>Open (23.02.1988)/30</t>
  </si>
  <si>
    <t>111,20</t>
  </si>
  <si>
    <t>Panferova M.</t>
  </si>
  <si>
    <t>Spesivtsev Evgeniy</t>
  </si>
  <si>
    <t>Open (29.05.1992)/26</t>
  </si>
  <si>
    <t>121,60</t>
  </si>
  <si>
    <t>320,0</t>
  </si>
  <si>
    <t>246,1600</t>
  </si>
  <si>
    <t>347,5</t>
  </si>
  <si>
    <t>370,1917</t>
  </si>
  <si>
    <t>277,5</t>
  </si>
  <si>
    <t>345,6818</t>
  </si>
  <si>
    <t>313,9762</t>
  </si>
  <si>
    <t>292,5</t>
  </si>
  <si>
    <t>248,3617</t>
  </si>
  <si>
    <t>217,2638</t>
  </si>
  <si>
    <t>208,8287</t>
  </si>
  <si>
    <t>364,6942</t>
  </si>
  <si>
    <t>213,0053</t>
  </si>
  <si>
    <t>134,2451</t>
  </si>
  <si>
    <t>325,9025</t>
  </si>
  <si>
    <t>585,0</t>
  </si>
  <si>
    <t>406,8383</t>
  </si>
  <si>
    <t>389,7908</t>
  </si>
  <si>
    <t>364,2210</t>
  </si>
  <si>
    <t>620,0</t>
  </si>
  <si>
    <t>350,8890</t>
  </si>
  <si>
    <t>605,0</t>
  </si>
  <si>
    <t>332,3265</t>
  </si>
  <si>
    <t>515,0</t>
  </si>
  <si>
    <t>322,1325</t>
  </si>
  <si>
    <t>302,6340</t>
  </si>
  <si>
    <t>Maletskaya Svetlana</t>
  </si>
  <si>
    <t>Open (04.06.1983)/35</t>
  </si>
  <si>
    <t>Makushin Vladimir</t>
  </si>
  <si>
    <t>Open (28.02.1990)/28</t>
  </si>
  <si>
    <t>72,00</t>
  </si>
  <si>
    <t>Shimchenko Ivan</t>
  </si>
  <si>
    <t>Open (26.11.1983)/35</t>
  </si>
  <si>
    <t>Karpukhin Pavel</t>
  </si>
  <si>
    <t>Open (16.10.1987)/31</t>
  </si>
  <si>
    <t>89,60</t>
  </si>
  <si>
    <t>Toropin Aleksey</t>
  </si>
  <si>
    <t>Teen 16-17 (31.10.2001)/17</t>
  </si>
  <si>
    <t>90,40</t>
  </si>
  <si>
    <t>Orekhovo-Zuyevo/Moskovskaya oblast</t>
  </si>
  <si>
    <t>Gladishev Denis</t>
  </si>
  <si>
    <t>Open (22.04.1988)/30</t>
  </si>
  <si>
    <t>Samodelkin Andrey</t>
  </si>
  <si>
    <t>Open (26.01.1974)/44</t>
  </si>
  <si>
    <t>109,10</t>
  </si>
  <si>
    <t>Khabarovsk/Khabarovskiy kray</t>
  </si>
  <si>
    <t>Masters 40-44 (26.01.1974)/44</t>
  </si>
  <si>
    <t>Adamov Vladimir</t>
  </si>
  <si>
    <t>Open (25.04.1986)/32</t>
  </si>
  <si>
    <t>112,00</t>
  </si>
  <si>
    <t>126,4350</t>
  </si>
  <si>
    <t>119,0280</t>
  </si>
  <si>
    <t>163,3460</t>
  </si>
  <si>
    <t>151,8041</t>
  </si>
  <si>
    <t>132,4930</t>
  </si>
  <si>
    <t>117,3300</t>
  </si>
  <si>
    <t>117,1255</t>
  </si>
  <si>
    <t>138,1902</t>
  </si>
  <si>
    <t>Aksenov Andrey</t>
  </si>
  <si>
    <t>Open (28.05.1992)/26</t>
  </si>
  <si>
    <t>146,50</t>
  </si>
  <si>
    <t>410,0</t>
  </si>
  <si>
    <t>415,0</t>
  </si>
  <si>
    <t>Elkanishvili Georgiy</t>
  </si>
  <si>
    <t>Open (01.11.1988)/30</t>
  </si>
  <si>
    <t>85,40</t>
  </si>
  <si>
    <t>Schekleev Roman</t>
  </si>
  <si>
    <t>Open (27.08.1989)/29</t>
  </si>
  <si>
    <t>Arkhipov Vitaliy</t>
  </si>
  <si>
    <t>Masters 45-49 (17.12.1972)/46</t>
  </si>
  <si>
    <t>Zaharov Sergey</t>
  </si>
  <si>
    <t>Open (20.03.1991)/27</t>
  </si>
  <si>
    <t>96,30</t>
  </si>
  <si>
    <t>Medvedev Dmitriy</t>
  </si>
  <si>
    <t>Juniors 20-23 (16.03.1996)/22</t>
  </si>
  <si>
    <t>114,80</t>
  </si>
  <si>
    <t>Kanaev Aleksandr</t>
  </si>
  <si>
    <t>Open (06.08.1988)/30</t>
  </si>
  <si>
    <t>118,70</t>
  </si>
  <si>
    <t>345,0</t>
  </si>
  <si>
    <t>352,5</t>
  </si>
  <si>
    <t>136,3303</t>
  </si>
  <si>
    <t>182,9320</t>
  </si>
  <si>
    <t>150,0711</t>
  </si>
  <si>
    <t>140,9875</t>
  </si>
  <si>
    <t>146,3967</t>
  </si>
  <si>
    <t>127,2572</t>
  </si>
  <si>
    <t xml:space="preserve"> </t>
  </si>
  <si>
    <t>World cup WPC                                                                                                Benchpress 
soft eq standart
16 December 2018</t>
  </si>
  <si>
    <t>World cup WPC                                                                                      Benchpress soft eq 
m-ply
16 December 2018</t>
  </si>
  <si>
    <t>World cup AWPC                                                                                           Benchpress
 soft eq standart
16 December 2018</t>
  </si>
  <si>
    <t>World cup AWPC                                                                          BP soft eq
16 December 2018</t>
  </si>
  <si>
    <t>World cup AWPC                                                                                                                                Powerlifting Classic
 raw
16 December 2018</t>
  </si>
  <si>
    <t>World cup WPC                                                                                                                      Raw deadlift
16 December 2018</t>
  </si>
  <si>
    <t>World cup AWPC                                                                                                                  Raw deadlift
16 December 2018</t>
  </si>
  <si>
    <t>World cup AWPC                                                                                      Benchpress eq multi ply
16 December 2018</t>
  </si>
  <si>
    <t>World cup AWPC                                                                                                  Benchpress eq single ply 
16 December 2018</t>
  </si>
  <si>
    <t>World cup AWPC                                                                                                                   Benchpress 
raw
16 December 2018</t>
  </si>
  <si>
    <t>World cup AWPC                                                                                                                         Powerlifting
 eq  sing leply
16 December 2018</t>
  </si>
  <si>
    <t>World cup AWPC                                                                                                                                Powerlifting 
raw
16 December 2018</t>
  </si>
  <si>
    <t>World cup WPC                                                                                                  Benchpress eq 
multi ply
16 December 2018</t>
  </si>
  <si>
    <t>World cup WPC                                                                                                            Benchpress eq single ply 
16 December 2018</t>
  </si>
  <si>
    <t>World cup WPC                                                                                                                               Powerlifting raw
16 December 2018</t>
  </si>
  <si>
    <t>World cup WPC                                                                                                 Benchpress
16 December 2018</t>
  </si>
  <si>
    <t>1354,4195</t>
  </si>
  <si>
    <t>2200,0</t>
  </si>
  <si>
    <t>Kustov Sergey</t>
  </si>
  <si>
    <t>2066,2800</t>
  </si>
  <si>
    <t>3145,0</t>
  </si>
  <si>
    <t>Terekhin Yuriy</t>
  </si>
  <si>
    <t>2458,0213</t>
  </si>
  <si>
    <t>4180,0</t>
  </si>
  <si>
    <t>725,9070</t>
  </si>
  <si>
    <t>910,0</t>
  </si>
  <si>
    <t>Ivanov Yulian</t>
  </si>
  <si>
    <t>1060,6400</t>
  </si>
  <si>
    <t>1600,0</t>
  </si>
  <si>
    <t>Feldberg Aleksandr</t>
  </si>
  <si>
    <t>1178,3420</t>
  </si>
  <si>
    <t>2090,0</t>
  </si>
  <si>
    <t>1191,1525</t>
  </si>
  <si>
    <t>2050,0</t>
  </si>
  <si>
    <t>Tarasenko Maxim</t>
  </si>
  <si>
    <t>1660,6801</t>
  </si>
  <si>
    <t>2400,0</t>
  </si>
  <si>
    <t>Deev Aleksandr</t>
  </si>
  <si>
    <t>1710,8438</t>
  </si>
  <si>
    <t>2475,0</t>
  </si>
  <si>
    <t>Tereshenko Sergey</t>
  </si>
  <si>
    <t>1804,9513</t>
  </si>
  <si>
    <t>3315,0</t>
  </si>
  <si>
    <t>Savin Ruslan</t>
  </si>
  <si>
    <t>2004,1513</t>
  </si>
  <si>
    <t>2121,6475</t>
  </si>
  <si>
    <t>2870,0</t>
  </si>
  <si>
    <t>Shulga Alexandr</t>
  </si>
  <si>
    <t>2380,3850</t>
  </si>
  <si>
    <t>3220,0</t>
  </si>
  <si>
    <t>Gishanin Aleksandr</t>
  </si>
  <si>
    <t>2469,0746</t>
  </si>
  <si>
    <t>3407,5</t>
  </si>
  <si>
    <t>Reva Maksim</t>
  </si>
  <si>
    <t>1212,2549</t>
  </si>
  <si>
    <t>1980,0</t>
  </si>
  <si>
    <t>Marian Samir-Alexander</t>
  </si>
  <si>
    <t>1008,4357</t>
  </si>
  <si>
    <t>892,5</t>
  </si>
  <si>
    <t>1247,9400</t>
  </si>
  <si>
    <t>1350,0</t>
  </si>
  <si>
    <t>26,0</t>
  </si>
  <si>
    <t>125,90</t>
  </si>
  <si>
    <t>Open (26.12.1978)/40</t>
  </si>
  <si>
    <t>19,0</t>
  </si>
  <si>
    <t>20,0</t>
  </si>
  <si>
    <t>100,10</t>
  </si>
  <si>
    <t>Open (09.07.1987)/31</t>
  </si>
  <si>
    <t>22,0</t>
  </si>
  <si>
    <t>Ulan-Ude/Buryatiya</t>
  </si>
  <si>
    <t>99,10</t>
  </si>
  <si>
    <t>Masters 45-49 (17.06.1973)/45</t>
  </si>
  <si>
    <t>Pavlovo/Nizhegorodskaya oblast</t>
  </si>
  <si>
    <t>Open (19.06.1982)/36</t>
  </si>
  <si>
    <t>Chernov Eduard</t>
  </si>
  <si>
    <t>37,0</t>
  </si>
  <si>
    <t>84,00</t>
  </si>
  <si>
    <t>Masters 40-44 (23.05.1975)/43</t>
  </si>
  <si>
    <t>Open (23.05.1975)/43</t>
  </si>
  <si>
    <t>79,10</t>
  </si>
  <si>
    <t>Open (23.07.1988)/30</t>
  </si>
  <si>
    <t>32,0</t>
  </si>
  <si>
    <t>33,0</t>
  </si>
  <si>
    <t>Open (16.10.1988)/30</t>
  </si>
  <si>
    <t>41,0</t>
  </si>
  <si>
    <t>68,50</t>
  </si>
  <si>
    <t>Open (14.07.1993)/25</t>
  </si>
  <si>
    <t>46,0</t>
  </si>
  <si>
    <t>Open (21.07.1987)/31</t>
  </si>
  <si>
    <t>47,0</t>
  </si>
  <si>
    <t>Ukraine</t>
  </si>
  <si>
    <t>70,20</t>
  </si>
  <si>
    <t>Open (26.12.1988)/30</t>
  </si>
  <si>
    <t>14,0</t>
  </si>
  <si>
    <t>62,80</t>
  </si>
  <si>
    <t>Open (23.09.1997)/21</t>
  </si>
  <si>
    <t>49,80</t>
  </si>
  <si>
    <t>Masters 45-49 (30.06.1972)/46</t>
  </si>
  <si>
    <t>Karnaushkina Irina</t>
  </si>
  <si>
    <t>17,0</t>
  </si>
  <si>
    <t>Кол-во</t>
  </si>
  <si>
    <t>Вес</t>
  </si>
  <si>
    <t>Bith date
Age Categoty</t>
  </si>
  <si>
    <t>1338,0169</t>
  </si>
  <si>
    <t>1657,5</t>
  </si>
  <si>
    <t>1642,1940</t>
  </si>
  <si>
    <t>1240,0</t>
  </si>
  <si>
    <t>51,0</t>
  </si>
  <si>
    <t>62,0</t>
  </si>
  <si>
    <t>27,0</t>
  </si>
  <si>
    <t>Mishin Aleksandr</t>
  </si>
  <si>
    <t>Teen 13-15 (18.12.2003)/15</t>
  </si>
  <si>
    <t>50,60</t>
  </si>
  <si>
    <t>5,0</t>
  </si>
  <si>
    <t>Galitsin Gennadiy</t>
  </si>
  <si>
    <t>Open (15.04.1985)/33</t>
  </si>
  <si>
    <t>23,0</t>
  </si>
  <si>
    <t>Pragin Roman</t>
  </si>
  <si>
    <t>Open (02.06.1986)/32</t>
  </si>
  <si>
    <t>91,00</t>
  </si>
  <si>
    <t>Sukhoparov Sergey</t>
  </si>
  <si>
    <t>Open (15.11.1981)/37</t>
  </si>
  <si>
    <t>99,90</t>
  </si>
  <si>
    <t>Belarus</t>
  </si>
  <si>
    <t>34,0</t>
  </si>
  <si>
    <t>Bardin Vladimir</t>
  </si>
  <si>
    <t>Open (13.01.1985)/33</t>
  </si>
  <si>
    <t>102,30</t>
  </si>
  <si>
    <t>kami power pro</t>
  </si>
  <si>
    <t>49,0</t>
  </si>
  <si>
    <t>Dedov Oleg</t>
  </si>
  <si>
    <t>Open (18.06.1991)/27</t>
  </si>
  <si>
    <t>100,80</t>
  </si>
  <si>
    <t>Kashira/Moskovskaya oblast</t>
  </si>
  <si>
    <t>35,0</t>
  </si>
  <si>
    <t>21,0</t>
  </si>
  <si>
    <t>Estoniya</t>
  </si>
  <si>
    <t>18,0</t>
  </si>
  <si>
    <t>1652,1586</t>
  </si>
  <si>
    <t>5022,5</t>
  </si>
  <si>
    <t>2893,2110</t>
  </si>
  <si>
    <t>3690,0</t>
  </si>
  <si>
    <t>2261,9699</t>
  </si>
  <si>
    <t>3422,5</t>
  </si>
  <si>
    <t>2081,5645</t>
  </si>
  <si>
    <t>3587,5</t>
  </si>
  <si>
    <t>2078,7769</t>
  </si>
  <si>
    <t>3400,0</t>
  </si>
  <si>
    <t>1977,2700</t>
  </si>
  <si>
    <t>2310,0</t>
  </si>
  <si>
    <t>1307,3444</t>
  </si>
  <si>
    <t>1955,0</t>
  </si>
  <si>
    <t>1468,5741</t>
  </si>
  <si>
    <t>1890,0</t>
  </si>
  <si>
    <t>1101,2558</t>
  </si>
  <si>
    <t>World cup WPC                                                                                                                                                   Powerlifting Classic
16 December 2018</t>
  </si>
  <si>
    <t>World cup  WPC                                                                                                              Multu-repeat benchpress 1 bw
16 December 2018</t>
  </si>
  <si>
    <t>World cup  AWPC                                                                                                              Multi-repeat benchpresses 1 bw
16 December 2018</t>
  </si>
  <si>
    <t>World cup  AWPC                                                                                                           Multi-repeat benchpress half of  body weight
16 December 2018</t>
  </si>
  <si>
    <t>World cup WPC                                                                                                                          Single ply powerlifting
16 December 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</si>
</sst>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</numFmts>
  <fonts count="47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8" fillId="0" borderId="15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8" fillId="0" borderId="16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27" sqref="A27:T27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31.125" style="34" bestFit="1" customWidth="1"/>
    <col min="7" max="9" width="5.50390625" style="34" bestFit="1" customWidth="1"/>
    <col min="10" max="10" width="4.875" style="34" bestFit="1" customWidth="1"/>
    <col min="11" max="13" width="5.50390625" style="34" bestFit="1" customWidth="1"/>
    <col min="14" max="14" width="4.875" style="34" bestFit="1" customWidth="1"/>
    <col min="15" max="17" width="5.50390625" style="34" bestFit="1" customWidth="1"/>
    <col min="18" max="18" width="4.875" style="34" bestFit="1" customWidth="1"/>
    <col min="19" max="19" width="6.625" style="34" bestFit="1" customWidth="1"/>
    <col min="20" max="20" width="8.50390625" style="34" bestFit="1" customWidth="1"/>
    <col min="21" max="21" width="7.50390625" style="34" bestFit="1" customWidth="1"/>
  </cols>
  <sheetData>
    <row r="1" spans="1:21" s="1" customFormat="1" ht="12.75">
      <c r="A1" s="55" t="s">
        <v>1310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1" customFormat="1" ht="78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7" customFormat="1" ht="78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4</v>
      </c>
      <c r="H3" s="65"/>
      <c r="I3" s="65"/>
      <c r="J3" s="51"/>
      <c r="K3" s="61" t="s">
        <v>5</v>
      </c>
      <c r="L3" s="65"/>
      <c r="M3" s="65"/>
      <c r="N3" s="51"/>
      <c r="O3" s="61" t="s">
        <v>6</v>
      </c>
      <c r="P3" s="65"/>
      <c r="Q3" s="65"/>
      <c r="R3" s="51"/>
      <c r="S3" s="66" t="s">
        <v>7</v>
      </c>
      <c r="T3" s="65" t="s">
        <v>9</v>
      </c>
      <c r="U3" s="51" t="s">
        <v>8</v>
      </c>
    </row>
    <row r="4" spans="1:21" s="7" customFormat="1" ht="23.2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67"/>
      <c r="T4" s="64"/>
      <c r="U4" s="52"/>
    </row>
    <row r="5" spans="1:20" ht="15">
      <c r="A5" s="53" t="s">
        <v>158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 ht="12.75">
      <c r="A6" s="37" t="s">
        <v>159</v>
      </c>
      <c r="B6" s="37" t="s">
        <v>160</v>
      </c>
      <c r="C6" s="37" t="s">
        <v>161</v>
      </c>
      <c r="D6" s="37" t="str">
        <f>"1,0469"</f>
        <v>1,0469</v>
      </c>
      <c r="E6" s="37" t="s">
        <v>17</v>
      </c>
      <c r="F6" s="37" t="s">
        <v>162</v>
      </c>
      <c r="G6" s="37" t="s">
        <v>163</v>
      </c>
      <c r="H6" s="37" t="s">
        <v>23</v>
      </c>
      <c r="I6" s="37" t="s">
        <v>164</v>
      </c>
      <c r="J6" s="38"/>
      <c r="K6" s="37" t="s">
        <v>165</v>
      </c>
      <c r="L6" s="38" t="s">
        <v>166</v>
      </c>
      <c r="M6" s="38" t="s">
        <v>166</v>
      </c>
      <c r="N6" s="38"/>
      <c r="O6" s="37" t="s">
        <v>25</v>
      </c>
      <c r="P6" s="37" t="s">
        <v>167</v>
      </c>
      <c r="Q6" s="37" t="s">
        <v>168</v>
      </c>
      <c r="R6" s="38"/>
      <c r="S6" s="37">
        <v>257.5</v>
      </c>
      <c r="T6" s="37" t="str">
        <f>"269,5768"</f>
        <v>269,5768</v>
      </c>
      <c r="U6" s="37"/>
    </row>
    <row r="8" spans="1:20" ht="15">
      <c r="A8" s="54" t="s">
        <v>13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1" ht="12.75">
      <c r="A9" s="37" t="s">
        <v>169</v>
      </c>
      <c r="B9" s="37" t="s">
        <v>170</v>
      </c>
      <c r="C9" s="37" t="s">
        <v>171</v>
      </c>
      <c r="D9" s="37" t="str">
        <f>"0,9956"</f>
        <v>0,9956</v>
      </c>
      <c r="E9" s="37" t="s">
        <v>172</v>
      </c>
      <c r="F9" s="37" t="s">
        <v>101</v>
      </c>
      <c r="G9" s="37" t="s">
        <v>164</v>
      </c>
      <c r="H9" s="37" t="s">
        <v>26</v>
      </c>
      <c r="I9" s="37" t="s">
        <v>87</v>
      </c>
      <c r="J9" s="38"/>
      <c r="K9" s="38" t="s">
        <v>163</v>
      </c>
      <c r="L9" s="37" t="s">
        <v>163</v>
      </c>
      <c r="M9" s="38" t="s">
        <v>173</v>
      </c>
      <c r="N9" s="38"/>
      <c r="O9" s="37" t="s">
        <v>174</v>
      </c>
      <c r="P9" s="37" t="s">
        <v>175</v>
      </c>
      <c r="Q9" s="37" t="s">
        <v>48</v>
      </c>
      <c r="R9" s="38"/>
      <c r="S9" s="37">
        <v>342.5</v>
      </c>
      <c r="T9" s="37" t="str">
        <f>"340,9930"</f>
        <v>340,9930</v>
      </c>
      <c r="U9" s="37"/>
    </row>
    <row r="11" spans="1:20" ht="15">
      <c r="A11" s="54" t="s">
        <v>176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1" ht="12.75">
      <c r="A12" s="39" t="s">
        <v>177</v>
      </c>
      <c r="B12" s="39" t="s">
        <v>178</v>
      </c>
      <c r="C12" s="39" t="s">
        <v>179</v>
      </c>
      <c r="D12" s="39" t="str">
        <f>"0,9416"</f>
        <v>0,9416</v>
      </c>
      <c r="E12" s="39" t="s">
        <v>17</v>
      </c>
      <c r="F12" s="39" t="s">
        <v>180</v>
      </c>
      <c r="G12" s="40" t="s">
        <v>47</v>
      </c>
      <c r="H12" s="39" t="s">
        <v>47</v>
      </c>
      <c r="I12" s="40" t="s">
        <v>69</v>
      </c>
      <c r="J12" s="40"/>
      <c r="K12" s="39" t="s">
        <v>181</v>
      </c>
      <c r="L12" s="39" t="s">
        <v>182</v>
      </c>
      <c r="M12" s="40" t="s">
        <v>183</v>
      </c>
      <c r="N12" s="40"/>
      <c r="O12" s="39" t="s">
        <v>36</v>
      </c>
      <c r="P12" s="39" t="s">
        <v>49</v>
      </c>
      <c r="Q12" s="39" t="s">
        <v>184</v>
      </c>
      <c r="R12" s="40"/>
      <c r="S12" s="39">
        <v>360</v>
      </c>
      <c r="T12" s="39" t="str">
        <f>"338,9580"</f>
        <v>338,9580</v>
      </c>
      <c r="U12" s="39"/>
    </row>
    <row r="13" spans="1:21" ht="12.75">
      <c r="A13" s="41" t="s">
        <v>185</v>
      </c>
      <c r="B13" s="41" t="s">
        <v>186</v>
      </c>
      <c r="C13" s="41" t="s">
        <v>187</v>
      </c>
      <c r="D13" s="41" t="str">
        <f>"0,9000"</f>
        <v>0,9000</v>
      </c>
      <c r="E13" s="41" t="s">
        <v>17</v>
      </c>
      <c r="F13" s="41" t="s">
        <v>162</v>
      </c>
      <c r="G13" s="41" t="s">
        <v>183</v>
      </c>
      <c r="H13" s="41" t="s">
        <v>163</v>
      </c>
      <c r="I13" s="41" t="s">
        <v>188</v>
      </c>
      <c r="J13" s="42"/>
      <c r="K13" s="41" t="s">
        <v>189</v>
      </c>
      <c r="L13" s="42" t="s">
        <v>165</v>
      </c>
      <c r="M13" s="41" t="s">
        <v>165</v>
      </c>
      <c r="N13" s="42"/>
      <c r="O13" s="41" t="s">
        <v>67</v>
      </c>
      <c r="P13" s="41" t="s">
        <v>174</v>
      </c>
      <c r="Q13" s="41" t="s">
        <v>190</v>
      </c>
      <c r="R13" s="42"/>
      <c r="S13" s="41">
        <v>260</v>
      </c>
      <c r="T13" s="41" t="str">
        <f>"233,9870"</f>
        <v>233,9870</v>
      </c>
      <c r="U13" s="41"/>
    </row>
    <row r="15" spans="1:20" ht="15">
      <c r="A15" s="54" t="s">
        <v>191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1" ht="12.75">
      <c r="A16" s="37" t="s">
        <v>192</v>
      </c>
      <c r="B16" s="37" t="s">
        <v>193</v>
      </c>
      <c r="C16" s="37" t="s">
        <v>194</v>
      </c>
      <c r="D16" s="37" t="str">
        <f>"0,8368"</f>
        <v>0,8368</v>
      </c>
      <c r="E16" s="37" t="s">
        <v>17</v>
      </c>
      <c r="F16" s="37" t="s">
        <v>162</v>
      </c>
      <c r="G16" s="37" t="s">
        <v>175</v>
      </c>
      <c r="H16" s="37" t="s">
        <v>36</v>
      </c>
      <c r="I16" s="37" t="s">
        <v>195</v>
      </c>
      <c r="J16" s="38"/>
      <c r="K16" s="37" t="s">
        <v>24</v>
      </c>
      <c r="L16" s="37" t="s">
        <v>196</v>
      </c>
      <c r="M16" s="38" t="s">
        <v>67</v>
      </c>
      <c r="N16" s="38"/>
      <c r="O16" s="37" t="s">
        <v>197</v>
      </c>
      <c r="P16" s="37" t="s">
        <v>198</v>
      </c>
      <c r="Q16" s="38" t="s">
        <v>199</v>
      </c>
      <c r="R16" s="38"/>
      <c r="S16" s="37">
        <v>445</v>
      </c>
      <c r="T16" s="37" t="str">
        <f>"372,3982"</f>
        <v>372,3982</v>
      </c>
      <c r="U16" s="37"/>
    </row>
    <row r="18" spans="1:20" ht="15">
      <c r="A18" s="54" t="s">
        <v>28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1" ht="12.75">
      <c r="A19" s="37" t="s">
        <v>200</v>
      </c>
      <c r="B19" s="37" t="s">
        <v>201</v>
      </c>
      <c r="C19" s="37" t="s">
        <v>202</v>
      </c>
      <c r="D19" s="37" t="str">
        <f>"0,6737"</f>
        <v>0,6737</v>
      </c>
      <c r="E19" s="37" t="s">
        <v>17</v>
      </c>
      <c r="F19" s="37" t="s">
        <v>101</v>
      </c>
      <c r="G19" s="38" t="s">
        <v>47</v>
      </c>
      <c r="H19" s="37" t="s">
        <v>47</v>
      </c>
      <c r="I19" s="38" t="s">
        <v>49</v>
      </c>
      <c r="J19" s="38"/>
      <c r="K19" s="37" t="s">
        <v>164</v>
      </c>
      <c r="L19" s="38" t="s">
        <v>25</v>
      </c>
      <c r="M19" s="38" t="s">
        <v>25</v>
      </c>
      <c r="N19" s="38"/>
      <c r="O19" s="37" t="s">
        <v>49</v>
      </c>
      <c r="P19" s="38" t="s">
        <v>19</v>
      </c>
      <c r="Q19" s="38" t="s">
        <v>19</v>
      </c>
      <c r="R19" s="38"/>
      <c r="S19" s="37">
        <v>375</v>
      </c>
      <c r="T19" s="37" t="str">
        <f>"252,6188"</f>
        <v>252,6188</v>
      </c>
      <c r="U19" s="37"/>
    </row>
    <row r="21" spans="1:20" ht="15">
      <c r="A21" s="54" t="s">
        <v>76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1" ht="12.75">
      <c r="A22" s="39" t="s">
        <v>203</v>
      </c>
      <c r="B22" s="39" t="s">
        <v>204</v>
      </c>
      <c r="C22" s="39" t="s">
        <v>205</v>
      </c>
      <c r="D22" s="39" t="str">
        <f>"0,5990"</f>
        <v>0,5990</v>
      </c>
      <c r="E22" s="39" t="s">
        <v>17</v>
      </c>
      <c r="F22" s="39" t="s">
        <v>162</v>
      </c>
      <c r="G22" s="39" t="s">
        <v>33</v>
      </c>
      <c r="H22" s="39" t="s">
        <v>34</v>
      </c>
      <c r="I22" s="40" t="s">
        <v>206</v>
      </c>
      <c r="J22" s="40"/>
      <c r="K22" s="39" t="s">
        <v>38</v>
      </c>
      <c r="L22" s="39" t="s">
        <v>104</v>
      </c>
      <c r="M22" s="39" t="s">
        <v>197</v>
      </c>
      <c r="N22" s="40"/>
      <c r="O22" s="39" t="s">
        <v>57</v>
      </c>
      <c r="P22" s="39" t="s">
        <v>207</v>
      </c>
      <c r="Q22" s="39" t="s">
        <v>94</v>
      </c>
      <c r="R22" s="40"/>
      <c r="S22" s="39">
        <v>712.5</v>
      </c>
      <c r="T22" s="39" t="str">
        <f>"426,7875"</f>
        <v>426,7875</v>
      </c>
      <c r="U22" s="39"/>
    </row>
    <row r="23" spans="1:21" ht="12.75">
      <c r="A23" s="43" t="s">
        <v>208</v>
      </c>
      <c r="B23" s="43" t="s">
        <v>209</v>
      </c>
      <c r="C23" s="43" t="s">
        <v>210</v>
      </c>
      <c r="D23" s="43" t="str">
        <f>"0,5880"</f>
        <v>0,5880</v>
      </c>
      <c r="E23" s="43" t="s">
        <v>17</v>
      </c>
      <c r="F23" s="43" t="s">
        <v>211</v>
      </c>
      <c r="G23" s="43" t="s">
        <v>34</v>
      </c>
      <c r="H23" s="44" t="s">
        <v>35</v>
      </c>
      <c r="I23" s="44" t="s">
        <v>35</v>
      </c>
      <c r="J23" s="44"/>
      <c r="K23" s="43" t="s">
        <v>37</v>
      </c>
      <c r="L23" s="43" t="s">
        <v>19</v>
      </c>
      <c r="M23" s="44" t="s">
        <v>212</v>
      </c>
      <c r="N23" s="44"/>
      <c r="O23" s="43" t="s">
        <v>56</v>
      </c>
      <c r="P23" s="43" t="s">
        <v>213</v>
      </c>
      <c r="Q23" s="43" t="s">
        <v>58</v>
      </c>
      <c r="R23" s="44"/>
      <c r="S23" s="43">
        <v>665</v>
      </c>
      <c r="T23" s="43" t="str">
        <f>"391,0200"</f>
        <v>391,0200</v>
      </c>
      <c r="U23" s="43"/>
    </row>
    <row r="24" spans="1:21" ht="12.75">
      <c r="A24" s="43" t="s">
        <v>214</v>
      </c>
      <c r="B24" s="43" t="s">
        <v>215</v>
      </c>
      <c r="C24" s="43" t="s">
        <v>216</v>
      </c>
      <c r="D24" s="43" t="str">
        <f>"0,5889"</f>
        <v>0,5889</v>
      </c>
      <c r="E24" s="43" t="s">
        <v>17</v>
      </c>
      <c r="F24" s="43" t="s">
        <v>101</v>
      </c>
      <c r="G24" s="44" t="s">
        <v>33</v>
      </c>
      <c r="H24" s="44" t="s">
        <v>33</v>
      </c>
      <c r="I24" s="44" t="s">
        <v>33</v>
      </c>
      <c r="J24" s="44"/>
      <c r="K24" s="44" t="s">
        <v>36</v>
      </c>
      <c r="L24" s="44"/>
      <c r="M24" s="44"/>
      <c r="N24" s="44"/>
      <c r="O24" s="44" t="s">
        <v>71</v>
      </c>
      <c r="P24" s="44"/>
      <c r="Q24" s="44"/>
      <c r="R24" s="44"/>
      <c r="S24" s="43">
        <v>0</v>
      </c>
      <c r="T24" s="43" t="str">
        <f>"0,0000"</f>
        <v>0,0000</v>
      </c>
      <c r="U24" s="43"/>
    </row>
    <row r="25" spans="1:21" ht="12.75">
      <c r="A25" s="41" t="s">
        <v>217</v>
      </c>
      <c r="B25" s="41" t="s">
        <v>218</v>
      </c>
      <c r="C25" s="41" t="s">
        <v>219</v>
      </c>
      <c r="D25" s="41" t="str">
        <f>"0,5896"</f>
        <v>0,5896</v>
      </c>
      <c r="E25" s="41" t="s">
        <v>85</v>
      </c>
      <c r="F25" s="41" t="s">
        <v>220</v>
      </c>
      <c r="G25" s="41" t="s">
        <v>70</v>
      </c>
      <c r="H25" s="41" t="s">
        <v>71</v>
      </c>
      <c r="I25" s="42" t="s">
        <v>221</v>
      </c>
      <c r="J25" s="42"/>
      <c r="K25" s="41" t="s">
        <v>19</v>
      </c>
      <c r="L25" s="41" t="s">
        <v>212</v>
      </c>
      <c r="M25" s="41" t="s">
        <v>222</v>
      </c>
      <c r="N25" s="42"/>
      <c r="O25" s="41" t="s">
        <v>95</v>
      </c>
      <c r="P25" s="42" t="s">
        <v>93</v>
      </c>
      <c r="Q25" s="42" t="s">
        <v>93</v>
      </c>
      <c r="R25" s="42"/>
      <c r="S25" s="41">
        <v>660</v>
      </c>
      <c r="T25" s="41" t="str">
        <f>"389,1611"</f>
        <v>389,1611</v>
      </c>
      <c r="U25" s="41"/>
    </row>
    <row r="27" spans="1:20" ht="15">
      <c r="A27" s="54" t="s">
        <v>88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1" ht="12.75">
      <c r="A28" s="39" t="s">
        <v>223</v>
      </c>
      <c r="B28" s="39" t="s">
        <v>224</v>
      </c>
      <c r="C28" s="39" t="s">
        <v>225</v>
      </c>
      <c r="D28" s="39" t="str">
        <f>"0,5694"</f>
        <v>0,5694</v>
      </c>
      <c r="E28" s="39" t="s">
        <v>17</v>
      </c>
      <c r="F28" s="39" t="s">
        <v>226</v>
      </c>
      <c r="G28" s="39" t="s">
        <v>221</v>
      </c>
      <c r="H28" s="40" t="s">
        <v>56</v>
      </c>
      <c r="I28" s="39" t="s">
        <v>56</v>
      </c>
      <c r="J28" s="40"/>
      <c r="K28" s="39" t="s">
        <v>19</v>
      </c>
      <c r="L28" s="39" t="s">
        <v>222</v>
      </c>
      <c r="M28" s="40" t="s">
        <v>227</v>
      </c>
      <c r="N28" s="40"/>
      <c r="O28" s="40" t="s">
        <v>59</v>
      </c>
      <c r="P28" s="40" t="s">
        <v>59</v>
      </c>
      <c r="Q28" s="39" t="s">
        <v>59</v>
      </c>
      <c r="R28" s="40"/>
      <c r="S28" s="39">
        <v>710</v>
      </c>
      <c r="T28" s="39" t="str">
        <f>"404,2740"</f>
        <v>404,2740</v>
      </c>
      <c r="U28" s="39"/>
    </row>
    <row r="29" spans="1:21" ht="12.75">
      <c r="A29" s="41" t="s">
        <v>228</v>
      </c>
      <c r="B29" s="41" t="s">
        <v>229</v>
      </c>
      <c r="C29" s="41" t="s">
        <v>230</v>
      </c>
      <c r="D29" s="41" t="str">
        <f>"0,5658"</f>
        <v>0,5658</v>
      </c>
      <c r="E29" s="41" t="s">
        <v>17</v>
      </c>
      <c r="F29" s="41" t="s">
        <v>101</v>
      </c>
      <c r="G29" s="41" t="s">
        <v>70</v>
      </c>
      <c r="H29" s="41" t="s">
        <v>33</v>
      </c>
      <c r="I29" s="42" t="s">
        <v>51</v>
      </c>
      <c r="J29" s="42"/>
      <c r="K29" s="41" t="s">
        <v>21</v>
      </c>
      <c r="L29" s="41" t="s">
        <v>198</v>
      </c>
      <c r="M29" s="41" t="s">
        <v>199</v>
      </c>
      <c r="N29" s="42"/>
      <c r="O29" s="41" t="s">
        <v>70</v>
      </c>
      <c r="P29" s="41" t="s">
        <v>33</v>
      </c>
      <c r="Q29" s="41" t="s">
        <v>71</v>
      </c>
      <c r="R29" s="42"/>
      <c r="S29" s="41">
        <v>647.5</v>
      </c>
      <c r="T29" s="41" t="str">
        <f>"366,3555"</f>
        <v>366,3555</v>
      </c>
      <c r="U29" s="41"/>
    </row>
    <row r="31" ht="15">
      <c r="E31" s="35" t="s">
        <v>113</v>
      </c>
    </row>
    <row r="32" ht="15">
      <c r="E32" s="35" t="s">
        <v>114</v>
      </c>
    </row>
    <row r="33" ht="15">
      <c r="E33" s="35" t="s">
        <v>115</v>
      </c>
    </row>
    <row r="34" ht="12.75">
      <c r="E34" s="34" t="s">
        <v>116</v>
      </c>
    </row>
    <row r="35" ht="12.75">
      <c r="E35" s="34" t="s">
        <v>117</v>
      </c>
    </row>
    <row r="36" ht="12.75">
      <c r="E36" s="34" t="s">
        <v>118</v>
      </c>
    </row>
    <row r="39" spans="1:2" ht="17.25">
      <c r="A39" s="36" t="s">
        <v>119</v>
      </c>
      <c r="B39" s="36"/>
    </row>
    <row r="40" spans="1:2" ht="15">
      <c r="A40" s="45" t="s">
        <v>231</v>
      </c>
      <c r="B40" s="45"/>
    </row>
    <row r="41" spans="1:2" ht="14.25">
      <c r="A41" s="47" t="s">
        <v>121</v>
      </c>
      <c r="B41" s="48"/>
    </row>
    <row r="42" spans="1:5" ht="13.5">
      <c r="A42" s="49" t="s">
        <v>0</v>
      </c>
      <c r="B42" s="49" t="s">
        <v>122</v>
      </c>
      <c r="C42" s="49" t="s">
        <v>123</v>
      </c>
      <c r="D42" s="49" t="s">
        <v>7</v>
      </c>
      <c r="E42" s="49" t="s">
        <v>124</v>
      </c>
    </row>
    <row r="43" spans="1:5" ht="12.75">
      <c r="A43" s="46" t="s">
        <v>177</v>
      </c>
      <c r="B43" s="34" t="s">
        <v>125</v>
      </c>
      <c r="C43" s="34" t="s">
        <v>232</v>
      </c>
      <c r="D43" s="34" t="s">
        <v>233</v>
      </c>
      <c r="E43" s="50" t="s">
        <v>234</v>
      </c>
    </row>
    <row r="45" spans="1:2" ht="14.25">
      <c r="A45" s="47" t="s">
        <v>132</v>
      </c>
      <c r="B45" s="48"/>
    </row>
    <row r="46" spans="1:5" ht="13.5">
      <c r="A46" s="49" t="s">
        <v>0</v>
      </c>
      <c r="B46" s="49" t="s">
        <v>122</v>
      </c>
      <c r="C46" s="49" t="s">
        <v>123</v>
      </c>
      <c r="D46" s="49" t="s">
        <v>7</v>
      </c>
      <c r="E46" s="49" t="s">
        <v>124</v>
      </c>
    </row>
    <row r="47" spans="1:5" ht="12.75">
      <c r="A47" s="46" t="s">
        <v>192</v>
      </c>
      <c r="B47" s="34" t="s">
        <v>132</v>
      </c>
      <c r="C47" s="34" t="s">
        <v>235</v>
      </c>
      <c r="D47" s="34" t="s">
        <v>236</v>
      </c>
      <c r="E47" s="50" t="s">
        <v>237</v>
      </c>
    </row>
    <row r="48" spans="1:5" ht="12.75">
      <c r="A48" s="46" t="s">
        <v>169</v>
      </c>
      <c r="B48" s="34" t="s">
        <v>132</v>
      </c>
      <c r="C48" s="34" t="s">
        <v>129</v>
      </c>
      <c r="D48" s="34" t="s">
        <v>238</v>
      </c>
      <c r="E48" s="50" t="s">
        <v>239</v>
      </c>
    </row>
    <row r="49" spans="1:5" ht="12.75">
      <c r="A49" s="46" t="s">
        <v>159</v>
      </c>
      <c r="B49" s="34" t="s">
        <v>132</v>
      </c>
      <c r="C49" s="34" t="s">
        <v>240</v>
      </c>
      <c r="D49" s="34" t="s">
        <v>241</v>
      </c>
      <c r="E49" s="50" t="s">
        <v>242</v>
      </c>
    </row>
    <row r="50" spans="1:5" ht="12.75">
      <c r="A50" s="46" t="s">
        <v>185</v>
      </c>
      <c r="B50" s="34" t="s">
        <v>132</v>
      </c>
      <c r="C50" s="34" t="s">
        <v>232</v>
      </c>
      <c r="D50" s="34" t="s">
        <v>95</v>
      </c>
      <c r="E50" s="50" t="s">
        <v>243</v>
      </c>
    </row>
    <row r="53" spans="1:2" ht="15">
      <c r="A53" s="45" t="s">
        <v>120</v>
      </c>
      <c r="B53" s="45"/>
    </row>
    <row r="54" spans="1:2" ht="14.25">
      <c r="A54" s="47" t="s">
        <v>132</v>
      </c>
      <c r="B54" s="48"/>
    </row>
    <row r="55" spans="1:5" ht="13.5">
      <c r="A55" s="49" t="s">
        <v>0</v>
      </c>
      <c r="B55" s="49" t="s">
        <v>122</v>
      </c>
      <c r="C55" s="49" t="s">
        <v>123</v>
      </c>
      <c r="D55" s="49" t="s">
        <v>7</v>
      </c>
      <c r="E55" s="49" t="s">
        <v>124</v>
      </c>
    </row>
    <row r="56" spans="1:5" ht="12.75">
      <c r="A56" s="46" t="s">
        <v>203</v>
      </c>
      <c r="B56" s="34" t="s">
        <v>132</v>
      </c>
      <c r="C56" s="34" t="s">
        <v>149</v>
      </c>
      <c r="D56" s="34" t="s">
        <v>127</v>
      </c>
      <c r="E56" s="50" t="s">
        <v>244</v>
      </c>
    </row>
    <row r="57" spans="1:5" ht="12.75">
      <c r="A57" s="46" t="s">
        <v>223</v>
      </c>
      <c r="B57" s="34" t="s">
        <v>132</v>
      </c>
      <c r="C57" s="34" t="s">
        <v>133</v>
      </c>
      <c r="D57" s="34" t="s">
        <v>245</v>
      </c>
      <c r="E57" s="50" t="s">
        <v>246</v>
      </c>
    </row>
    <row r="58" spans="1:5" ht="12.75">
      <c r="A58" s="46" t="s">
        <v>208</v>
      </c>
      <c r="B58" s="34" t="s">
        <v>132</v>
      </c>
      <c r="C58" s="34" t="s">
        <v>149</v>
      </c>
      <c r="D58" s="34" t="s">
        <v>247</v>
      </c>
      <c r="E58" s="50" t="s">
        <v>248</v>
      </c>
    </row>
    <row r="59" spans="1:5" ht="12.75">
      <c r="A59" s="46" t="s">
        <v>228</v>
      </c>
      <c r="B59" s="34" t="s">
        <v>132</v>
      </c>
      <c r="C59" s="34" t="s">
        <v>133</v>
      </c>
      <c r="D59" s="34" t="s">
        <v>249</v>
      </c>
      <c r="E59" s="50" t="s">
        <v>250</v>
      </c>
    </row>
    <row r="60" spans="1:5" ht="12.75">
      <c r="A60" s="46" t="s">
        <v>200</v>
      </c>
      <c r="B60" s="34" t="s">
        <v>132</v>
      </c>
      <c r="C60" s="34" t="s">
        <v>139</v>
      </c>
      <c r="D60" s="34" t="s">
        <v>251</v>
      </c>
      <c r="E60" s="50" t="s">
        <v>252</v>
      </c>
    </row>
    <row r="62" spans="1:2" ht="14.25">
      <c r="A62" s="47" t="s">
        <v>152</v>
      </c>
      <c r="B62" s="48"/>
    </row>
    <row r="63" spans="1:5" ht="13.5">
      <c r="A63" s="49" t="s">
        <v>0</v>
      </c>
      <c r="B63" s="49" t="s">
        <v>122</v>
      </c>
      <c r="C63" s="49" t="s">
        <v>123</v>
      </c>
      <c r="D63" s="49" t="s">
        <v>7</v>
      </c>
      <c r="E63" s="49" t="s">
        <v>124</v>
      </c>
    </row>
    <row r="64" spans="1:5" ht="12.75">
      <c r="A64" s="46" t="s">
        <v>217</v>
      </c>
      <c r="B64" s="34" t="s">
        <v>153</v>
      </c>
      <c r="C64" s="34" t="s">
        <v>149</v>
      </c>
      <c r="D64" s="34" t="s">
        <v>253</v>
      </c>
      <c r="E64" s="50" t="s">
        <v>254</v>
      </c>
    </row>
  </sheetData>
  <sheetProtection/>
  <mergeCells count="20">
    <mergeCell ref="A15:T15"/>
    <mergeCell ref="A18:T18"/>
    <mergeCell ref="A21:T21"/>
    <mergeCell ref="A27:T27"/>
    <mergeCell ref="S3:S4"/>
    <mergeCell ref="T3:T4"/>
    <mergeCell ref="F3:F4"/>
    <mergeCell ref="G3:J3"/>
    <mergeCell ref="K3:N3"/>
    <mergeCell ref="O3:R3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28">
      <selection activeCell="E3" sqref="E3:E4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20.625" style="34" bestFit="1" customWidth="1"/>
    <col min="6" max="6" width="32.00390625" style="34" bestFit="1" customWidth="1"/>
    <col min="7" max="9" width="5.50390625" style="34" bestFit="1" customWidth="1"/>
    <col min="10" max="10" width="4.875" style="34" bestFit="1" customWidth="1"/>
    <col min="11" max="11" width="6.625" style="34" bestFit="1" customWidth="1"/>
    <col min="12" max="12" width="8.50390625" style="34" bestFit="1" customWidth="1"/>
    <col min="13" max="13" width="27.625" style="34" bestFit="1" customWidth="1"/>
  </cols>
  <sheetData>
    <row r="1" spans="1:13" s="1" customFormat="1" ht="36" customHeight="1">
      <c r="A1" s="55" t="s">
        <v>1301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55.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36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6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36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73" t="s">
        <v>272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12.75">
      <c r="A6" s="39" t="s">
        <v>273</v>
      </c>
      <c r="B6" s="39" t="s">
        <v>274</v>
      </c>
      <c r="C6" s="39" t="s">
        <v>275</v>
      </c>
      <c r="D6" s="39" t="str">
        <f>"1,2851"</f>
        <v>1,2851</v>
      </c>
      <c r="E6" s="39" t="s">
        <v>276</v>
      </c>
      <c r="F6" s="39" t="s">
        <v>277</v>
      </c>
      <c r="G6" s="39" t="s">
        <v>283</v>
      </c>
      <c r="H6" s="39" t="s">
        <v>181</v>
      </c>
      <c r="I6" s="39" t="s">
        <v>278</v>
      </c>
      <c r="J6" s="40"/>
      <c r="K6" s="39">
        <v>67.5</v>
      </c>
      <c r="L6" s="39" t="str">
        <f>"86,7442"</f>
        <v>86,7442</v>
      </c>
      <c r="M6" s="39"/>
    </row>
    <row r="7" spans="1:13" ht="12.75">
      <c r="A7" s="41" t="s">
        <v>273</v>
      </c>
      <c r="B7" s="41" t="s">
        <v>284</v>
      </c>
      <c r="C7" s="41" t="s">
        <v>275</v>
      </c>
      <c r="D7" s="41" t="str">
        <f>"1,3108"</f>
        <v>1,3108</v>
      </c>
      <c r="E7" s="41" t="s">
        <v>276</v>
      </c>
      <c r="F7" s="41" t="s">
        <v>277</v>
      </c>
      <c r="G7" s="41" t="s">
        <v>283</v>
      </c>
      <c r="H7" s="41" t="s">
        <v>181</v>
      </c>
      <c r="I7" s="41" t="s">
        <v>278</v>
      </c>
      <c r="J7" s="42"/>
      <c r="K7" s="41">
        <v>67.5</v>
      </c>
      <c r="L7" s="41" t="str">
        <f>"88,4791"</f>
        <v>88,4791</v>
      </c>
      <c r="M7" s="41"/>
    </row>
    <row r="9" spans="1:12" ht="15">
      <c r="A9" s="74" t="s">
        <v>158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3" ht="12.75">
      <c r="A10" s="37" t="s">
        <v>912</v>
      </c>
      <c r="B10" s="37" t="s">
        <v>913</v>
      </c>
      <c r="C10" s="37" t="s">
        <v>914</v>
      </c>
      <c r="D10" s="37" t="str">
        <f>"1,0653"</f>
        <v>1,0653</v>
      </c>
      <c r="E10" s="37" t="s">
        <v>17</v>
      </c>
      <c r="F10" s="37" t="s">
        <v>18</v>
      </c>
      <c r="G10" s="38" t="s">
        <v>36</v>
      </c>
      <c r="H10" s="37" t="s">
        <v>49</v>
      </c>
      <c r="I10" s="38" t="s">
        <v>37</v>
      </c>
      <c r="J10" s="38"/>
      <c r="K10" s="37">
        <v>150</v>
      </c>
      <c r="L10" s="37" t="str">
        <f>"159,7950"</f>
        <v>159,7950</v>
      </c>
      <c r="M10" s="37"/>
    </row>
    <row r="12" spans="1:12" ht="15">
      <c r="A12" s="54" t="s">
        <v>191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37" t="s">
        <v>915</v>
      </c>
      <c r="B13" s="37" t="s">
        <v>916</v>
      </c>
      <c r="C13" s="37" t="s">
        <v>691</v>
      </c>
      <c r="D13" s="37" t="str">
        <f>"0,8579"</f>
        <v>0,8579</v>
      </c>
      <c r="E13" s="37" t="s">
        <v>17</v>
      </c>
      <c r="F13" s="37" t="s">
        <v>101</v>
      </c>
      <c r="G13" s="37" t="s">
        <v>39</v>
      </c>
      <c r="H13" s="38" t="s">
        <v>71</v>
      </c>
      <c r="I13" s="38" t="s">
        <v>71</v>
      </c>
      <c r="J13" s="38"/>
      <c r="K13" s="37">
        <v>215</v>
      </c>
      <c r="L13" s="37" t="str">
        <f>"184,4485"</f>
        <v>184,4485</v>
      </c>
      <c r="M13" s="37"/>
    </row>
    <row r="15" spans="1:12" ht="15">
      <c r="A15" s="54" t="s">
        <v>28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3" ht="12.75">
      <c r="A16" s="37" t="s">
        <v>917</v>
      </c>
      <c r="B16" s="37" t="s">
        <v>918</v>
      </c>
      <c r="C16" s="37" t="s">
        <v>919</v>
      </c>
      <c r="D16" s="37" t="str">
        <f>"0,8141"</f>
        <v>0,8141</v>
      </c>
      <c r="E16" s="37" t="s">
        <v>44</v>
      </c>
      <c r="F16" s="37" t="s">
        <v>45</v>
      </c>
      <c r="G16" s="37" t="s">
        <v>69</v>
      </c>
      <c r="H16" s="37" t="s">
        <v>317</v>
      </c>
      <c r="I16" s="37" t="s">
        <v>37</v>
      </c>
      <c r="J16" s="38"/>
      <c r="K16" s="37">
        <v>155</v>
      </c>
      <c r="L16" s="37" t="str">
        <f>"126,1932"</f>
        <v>126,1932</v>
      </c>
      <c r="M16" s="37" t="s">
        <v>920</v>
      </c>
    </row>
    <row r="18" spans="1:12" ht="15">
      <c r="A18" s="54" t="s">
        <v>52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3" ht="12.75">
      <c r="A19" s="37" t="s">
        <v>921</v>
      </c>
      <c r="B19" s="37" t="s">
        <v>922</v>
      </c>
      <c r="C19" s="37" t="s">
        <v>923</v>
      </c>
      <c r="D19" s="37" t="str">
        <f>"0,7692"</f>
        <v>0,7692</v>
      </c>
      <c r="E19" s="37" t="s">
        <v>17</v>
      </c>
      <c r="F19" s="37" t="s">
        <v>18</v>
      </c>
      <c r="G19" s="37" t="s">
        <v>47</v>
      </c>
      <c r="H19" s="37" t="s">
        <v>36</v>
      </c>
      <c r="I19" s="37" t="s">
        <v>317</v>
      </c>
      <c r="J19" s="38"/>
      <c r="K19" s="37">
        <v>145</v>
      </c>
      <c r="L19" s="37" t="str">
        <f>"111,5412"</f>
        <v>111,5412</v>
      </c>
      <c r="M19" s="37"/>
    </row>
    <row r="21" spans="1:12" ht="15">
      <c r="A21" s="54" t="s">
        <v>13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3" ht="12.75">
      <c r="A22" s="37" t="s">
        <v>14</v>
      </c>
      <c r="B22" s="37" t="s">
        <v>15</v>
      </c>
      <c r="C22" s="37" t="s">
        <v>16</v>
      </c>
      <c r="D22" s="37" t="str">
        <f>"0,8641"</f>
        <v>0,8641</v>
      </c>
      <c r="E22" s="37" t="s">
        <v>17</v>
      </c>
      <c r="F22" s="37" t="s">
        <v>18</v>
      </c>
      <c r="G22" s="37" t="s">
        <v>20</v>
      </c>
      <c r="H22" s="37" t="s">
        <v>27</v>
      </c>
      <c r="I22" s="37" t="s">
        <v>22</v>
      </c>
      <c r="J22" s="38"/>
      <c r="K22" s="37">
        <v>200</v>
      </c>
      <c r="L22" s="37" t="str">
        <f>"172,8300"</f>
        <v>172,8300</v>
      </c>
      <c r="M22" s="37"/>
    </row>
    <row r="24" spans="1:12" ht="15">
      <c r="A24" s="54" t="s">
        <v>176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3" ht="12.75">
      <c r="A25" s="39" t="s">
        <v>305</v>
      </c>
      <c r="B25" s="39" t="s">
        <v>306</v>
      </c>
      <c r="C25" s="39" t="s">
        <v>307</v>
      </c>
      <c r="D25" s="39" t="str">
        <f>"0,7581"</f>
        <v>0,7581</v>
      </c>
      <c r="E25" s="39" t="s">
        <v>308</v>
      </c>
      <c r="F25" s="39" t="s">
        <v>308</v>
      </c>
      <c r="G25" s="39" t="s">
        <v>222</v>
      </c>
      <c r="H25" s="39" t="s">
        <v>21</v>
      </c>
      <c r="I25" s="39" t="s">
        <v>66</v>
      </c>
      <c r="J25" s="40"/>
      <c r="K25" s="39">
        <v>190</v>
      </c>
      <c r="L25" s="39" t="str">
        <f>"144,0295"</f>
        <v>144,0295</v>
      </c>
      <c r="M25" s="39"/>
    </row>
    <row r="26" spans="1:13" ht="12.75">
      <c r="A26" s="41" t="s">
        <v>924</v>
      </c>
      <c r="B26" s="41" t="s">
        <v>925</v>
      </c>
      <c r="C26" s="41" t="s">
        <v>926</v>
      </c>
      <c r="D26" s="41" t="str">
        <f>"0,9336"</f>
        <v>0,9336</v>
      </c>
      <c r="E26" s="41" t="s">
        <v>17</v>
      </c>
      <c r="F26" s="41" t="s">
        <v>927</v>
      </c>
      <c r="G26" s="41" t="s">
        <v>264</v>
      </c>
      <c r="H26" s="41" t="s">
        <v>46</v>
      </c>
      <c r="I26" s="41" t="s">
        <v>50</v>
      </c>
      <c r="J26" s="42"/>
      <c r="K26" s="41">
        <v>217.5</v>
      </c>
      <c r="L26" s="41" t="str">
        <f>"203,0540"</f>
        <v>203,0540</v>
      </c>
      <c r="M26" s="41" t="s">
        <v>928</v>
      </c>
    </row>
    <row r="28" spans="1:12" ht="15">
      <c r="A28" s="54" t="s">
        <v>191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3" ht="12.75">
      <c r="A29" s="37" t="s">
        <v>508</v>
      </c>
      <c r="B29" s="37" t="s">
        <v>509</v>
      </c>
      <c r="C29" s="37" t="s">
        <v>510</v>
      </c>
      <c r="D29" s="37" t="str">
        <f>"0,6955"</f>
        <v>0,6955</v>
      </c>
      <c r="E29" s="37" t="s">
        <v>17</v>
      </c>
      <c r="F29" s="37" t="s">
        <v>18</v>
      </c>
      <c r="G29" s="37" t="s">
        <v>39</v>
      </c>
      <c r="H29" s="37" t="s">
        <v>71</v>
      </c>
      <c r="I29" s="38" t="s">
        <v>221</v>
      </c>
      <c r="J29" s="38"/>
      <c r="K29" s="37">
        <v>230</v>
      </c>
      <c r="L29" s="37" t="str">
        <f>"159,9535"</f>
        <v>159,9535</v>
      </c>
      <c r="M29" s="37"/>
    </row>
    <row r="31" spans="1:12" ht="15">
      <c r="A31" s="54" t="s">
        <v>28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3" ht="12.75">
      <c r="A32" s="39" t="s">
        <v>929</v>
      </c>
      <c r="B32" s="39" t="s">
        <v>930</v>
      </c>
      <c r="C32" s="39" t="s">
        <v>931</v>
      </c>
      <c r="D32" s="39" t="str">
        <f>"0,6508"</f>
        <v>0,6508</v>
      </c>
      <c r="E32" s="39" t="s">
        <v>17</v>
      </c>
      <c r="F32" s="39" t="s">
        <v>932</v>
      </c>
      <c r="G32" s="39" t="s">
        <v>35</v>
      </c>
      <c r="H32" s="39" t="s">
        <v>102</v>
      </c>
      <c r="I32" s="39" t="s">
        <v>213</v>
      </c>
      <c r="J32" s="40"/>
      <c r="K32" s="39">
        <v>262.5</v>
      </c>
      <c r="L32" s="39" t="str">
        <f>"170,8350"</f>
        <v>170,8350</v>
      </c>
      <c r="M32" s="39"/>
    </row>
    <row r="33" spans="1:13" ht="12.75">
      <c r="A33" s="43" t="s">
        <v>933</v>
      </c>
      <c r="B33" s="43" t="s">
        <v>934</v>
      </c>
      <c r="C33" s="43" t="s">
        <v>465</v>
      </c>
      <c r="D33" s="43" t="str">
        <f>"0,6513"</f>
        <v>0,6513</v>
      </c>
      <c r="E33" s="43" t="s">
        <v>172</v>
      </c>
      <c r="F33" s="43" t="s">
        <v>365</v>
      </c>
      <c r="G33" s="43" t="s">
        <v>95</v>
      </c>
      <c r="H33" s="43" t="s">
        <v>96</v>
      </c>
      <c r="I33" s="44" t="s">
        <v>59</v>
      </c>
      <c r="J33" s="44"/>
      <c r="K33" s="43">
        <v>280</v>
      </c>
      <c r="L33" s="43" t="str">
        <f>"182,3640"</f>
        <v>182,3640</v>
      </c>
      <c r="M33" s="43"/>
    </row>
    <row r="34" spans="1:13" ht="12.75">
      <c r="A34" s="41" t="s">
        <v>935</v>
      </c>
      <c r="B34" s="41" t="s">
        <v>936</v>
      </c>
      <c r="C34" s="41" t="s">
        <v>937</v>
      </c>
      <c r="D34" s="41" t="str">
        <f>"0,6545"</f>
        <v>0,6545</v>
      </c>
      <c r="E34" s="41" t="s">
        <v>17</v>
      </c>
      <c r="F34" s="41" t="s">
        <v>101</v>
      </c>
      <c r="G34" s="42" t="s">
        <v>71</v>
      </c>
      <c r="H34" s="42"/>
      <c r="I34" s="42"/>
      <c r="J34" s="42"/>
      <c r="K34" s="41">
        <v>0</v>
      </c>
      <c r="L34" s="41" t="str">
        <f>"0,0000"</f>
        <v>0,0000</v>
      </c>
      <c r="M34" s="41"/>
    </row>
    <row r="36" spans="1:12" ht="15">
      <c r="A36" s="54" t="s">
        <v>52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3" ht="12.75">
      <c r="A37" s="39" t="s">
        <v>53</v>
      </c>
      <c r="B37" s="39" t="s">
        <v>54</v>
      </c>
      <c r="C37" s="39" t="s">
        <v>55</v>
      </c>
      <c r="D37" s="39" t="str">
        <f>"0,6234"</f>
        <v>0,6234</v>
      </c>
      <c r="E37" s="39" t="s">
        <v>17</v>
      </c>
      <c r="F37" s="39" t="s">
        <v>18</v>
      </c>
      <c r="G37" s="39" t="s">
        <v>59</v>
      </c>
      <c r="H37" s="39" t="s">
        <v>60</v>
      </c>
      <c r="I37" s="40" t="s">
        <v>61</v>
      </c>
      <c r="J37" s="40"/>
      <c r="K37" s="39">
        <v>302.5</v>
      </c>
      <c r="L37" s="39" t="str">
        <f>"188,5785"</f>
        <v>188,5785</v>
      </c>
      <c r="M37" s="39"/>
    </row>
    <row r="38" spans="1:13" ht="12.75">
      <c r="A38" s="41" t="s">
        <v>938</v>
      </c>
      <c r="B38" s="41" t="s">
        <v>939</v>
      </c>
      <c r="C38" s="41" t="s">
        <v>940</v>
      </c>
      <c r="D38" s="41" t="str">
        <f>"0,6387"</f>
        <v>0,6387</v>
      </c>
      <c r="E38" s="41" t="s">
        <v>17</v>
      </c>
      <c r="F38" s="41" t="s">
        <v>101</v>
      </c>
      <c r="G38" s="41" t="s">
        <v>70</v>
      </c>
      <c r="H38" s="41" t="s">
        <v>33</v>
      </c>
      <c r="I38" s="42" t="s">
        <v>71</v>
      </c>
      <c r="J38" s="42"/>
      <c r="K38" s="41">
        <v>220</v>
      </c>
      <c r="L38" s="41" t="str">
        <f>"140,5140"</f>
        <v>140,5140</v>
      </c>
      <c r="M38" s="41"/>
    </row>
    <row r="40" spans="1:12" ht="15">
      <c r="A40" s="54" t="s">
        <v>76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ht="12.75">
      <c r="A41" s="39" t="s">
        <v>77</v>
      </c>
      <c r="B41" s="39" t="s">
        <v>78</v>
      </c>
      <c r="C41" s="39" t="s">
        <v>79</v>
      </c>
      <c r="D41" s="39" t="str">
        <f>"0,5846"</f>
        <v>0,5846</v>
      </c>
      <c r="E41" s="39" t="s">
        <v>17</v>
      </c>
      <c r="F41" s="39" t="s">
        <v>18</v>
      </c>
      <c r="G41" s="39" t="s">
        <v>22</v>
      </c>
      <c r="H41" s="40"/>
      <c r="I41" s="40"/>
      <c r="J41" s="40"/>
      <c r="K41" s="39">
        <v>200</v>
      </c>
      <c r="L41" s="39" t="str">
        <f>"116,9100"</f>
        <v>116,9100</v>
      </c>
      <c r="M41" s="39"/>
    </row>
    <row r="42" spans="1:13" ht="12.75">
      <c r="A42" s="43" t="s">
        <v>77</v>
      </c>
      <c r="B42" s="43" t="s">
        <v>81</v>
      </c>
      <c r="C42" s="43" t="s">
        <v>79</v>
      </c>
      <c r="D42" s="43" t="str">
        <f>"0,5904"</f>
        <v>0,5904</v>
      </c>
      <c r="E42" s="43" t="s">
        <v>17</v>
      </c>
      <c r="F42" s="43" t="s">
        <v>18</v>
      </c>
      <c r="G42" s="43" t="s">
        <v>22</v>
      </c>
      <c r="H42" s="44"/>
      <c r="I42" s="44"/>
      <c r="J42" s="44"/>
      <c r="K42" s="43">
        <v>200</v>
      </c>
      <c r="L42" s="43" t="str">
        <f>"118,0791"</f>
        <v>118,0791</v>
      </c>
      <c r="M42" s="43"/>
    </row>
    <row r="43" spans="1:13" ht="12.75">
      <c r="A43" s="41" t="s">
        <v>359</v>
      </c>
      <c r="B43" s="41" t="s">
        <v>360</v>
      </c>
      <c r="C43" s="41" t="s">
        <v>361</v>
      </c>
      <c r="D43" s="41" t="str">
        <f>"0,6286"</f>
        <v>0,6286</v>
      </c>
      <c r="E43" s="41" t="s">
        <v>17</v>
      </c>
      <c r="F43" s="41" t="s">
        <v>101</v>
      </c>
      <c r="G43" s="42" t="s">
        <v>20</v>
      </c>
      <c r="H43" s="41" t="s">
        <v>20</v>
      </c>
      <c r="I43" s="41" t="s">
        <v>27</v>
      </c>
      <c r="J43" s="42"/>
      <c r="K43" s="41">
        <v>195</v>
      </c>
      <c r="L43" s="41" t="str">
        <f>"122,5812"</f>
        <v>122,5812</v>
      </c>
      <c r="M43" s="41"/>
    </row>
    <row r="45" spans="1:12" ht="15">
      <c r="A45" s="54" t="s">
        <v>88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3" ht="12.75">
      <c r="A46" s="37" t="s">
        <v>941</v>
      </c>
      <c r="B46" s="37" t="s">
        <v>942</v>
      </c>
      <c r="C46" s="37" t="s">
        <v>943</v>
      </c>
      <c r="D46" s="37" t="str">
        <f>"0,5632"</f>
        <v>0,5632</v>
      </c>
      <c r="E46" s="37" t="s">
        <v>17</v>
      </c>
      <c r="F46" s="37" t="s">
        <v>18</v>
      </c>
      <c r="G46" s="37" t="s">
        <v>58</v>
      </c>
      <c r="H46" s="38" t="s">
        <v>59</v>
      </c>
      <c r="I46" s="38" t="s">
        <v>59</v>
      </c>
      <c r="J46" s="38"/>
      <c r="K46" s="37">
        <v>270</v>
      </c>
      <c r="L46" s="37" t="str">
        <f>"152,0640"</f>
        <v>152,0640</v>
      </c>
      <c r="M46" s="37"/>
    </row>
    <row r="48" spans="1:12" ht="15">
      <c r="A48" s="54" t="s">
        <v>97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3" ht="12.75">
      <c r="A49" s="37" t="s">
        <v>944</v>
      </c>
      <c r="B49" s="37" t="s">
        <v>945</v>
      </c>
      <c r="C49" s="37" t="s">
        <v>946</v>
      </c>
      <c r="D49" s="37" t="str">
        <f>"0,5612"</f>
        <v>0,5612</v>
      </c>
      <c r="E49" s="37" t="s">
        <v>17</v>
      </c>
      <c r="F49" s="37" t="s">
        <v>308</v>
      </c>
      <c r="G49" s="37" t="s">
        <v>947</v>
      </c>
      <c r="H49" s="38" t="s">
        <v>948</v>
      </c>
      <c r="I49" s="38" t="s">
        <v>948</v>
      </c>
      <c r="J49" s="38"/>
      <c r="K49" s="37">
        <v>340</v>
      </c>
      <c r="L49" s="37" t="str">
        <f>"190,8080"</f>
        <v>190,8080</v>
      </c>
      <c r="M49" s="37"/>
    </row>
    <row r="51" spans="1:12" ht="15">
      <c r="A51" s="54" t="s">
        <v>107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3" ht="12.75">
      <c r="A52" s="39" t="s">
        <v>108</v>
      </c>
      <c r="B52" s="39" t="s">
        <v>109</v>
      </c>
      <c r="C52" s="39" t="s">
        <v>110</v>
      </c>
      <c r="D52" s="39" t="str">
        <f>"0,5436"</f>
        <v>0,5436</v>
      </c>
      <c r="E52" s="39" t="s">
        <v>17</v>
      </c>
      <c r="F52" s="39" t="s">
        <v>18</v>
      </c>
      <c r="G52" s="39" t="s">
        <v>59</v>
      </c>
      <c r="H52" s="40"/>
      <c r="I52" s="40"/>
      <c r="J52" s="40"/>
      <c r="K52" s="39">
        <v>290</v>
      </c>
      <c r="L52" s="39" t="str">
        <f>"157,6585"</f>
        <v>157,6585</v>
      </c>
      <c r="M52" s="39"/>
    </row>
    <row r="53" spans="1:13" ht="12.75">
      <c r="A53" s="41" t="s">
        <v>949</v>
      </c>
      <c r="B53" s="41" t="s">
        <v>950</v>
      </c>
      <c r="C53" s="41" t="s">
        <v>951</v>
      </c>
      <c r="D53" s="41" t="str">
        <f>"0,5422"</f>
        <v>0,5422</v>
      </c>
      <c r="E53" s="41" t="s">
        <v>17</v>
      </c>
      <c r="F53" s="41" t="s">
        <v>952</v>
      </c>
      <c r="G53" s="41" t="s">
        <v>96</v>
      </c>
      <c r="H53" s="42"/>
      <c r="I53" s="42"/>
      <c r="J53" s="42"/>
      <c r="K53" s="41">
        <v>280</v>
      </c>
      <c r="L53" s="41" t="str">
        <f>"151,8188"</f>
        <v>151,8188</v>
      </c>
      <c r="M53" s="41"/>
    </row>
    <row r="55" spans="1:12" ht="15">
      <c r="A55" s="54" t="s">
        <v>953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3" ht="12.75">
      <c r="A56" s="37" t="s">
        <v>954</v>
      </c>
      <c r="B56" s="37" t="s">
        <v>955</v>
      </c>
      <c r="C56" s="37" t="s">
        <v>956</v>
      </c>
      <c r="D56" s="37" t="str">
        <f>"0,5239"</f>
        <v>0,5239</v>
      </c>
      <c r="E56" s="37" t="s">
        <v>308</v>
      </c>
      <c r="F56" s="37" t="s">
        <v>258</v>
      </c>
      <c r="G56" s="37" t="s">
        <v>957</v>
      </c>
      <c r="H56" s="37" t="s">
        <v>958</v>
      </c>
      <c r="I56" s="38" t="s">
        <v>959</v>
      </c>
      <c r="J56" s="38"/>
      <c r="K56" s="37">
        <v>400</v>
      </c>
      <c r="L56" s="37" t="str">
        <f>"209,5500"</f>
        <v>209,5500</v>
      </c>
      <c r="M56" s="37"/>
    </row>
    <row r="58" ht="15">
      <c r="E58" s="35" t="s">
        <v>113</v>
      </c>
    </row>
    <row r="59" ht="15">
      <c r="E59" s="35" t="s">
        <v>114</v>
      </c>
    </row>
    <row r="60" ht="15">
      <c r="E60" s="35" t="s">
        <v>115</v>
      </c>
    </row>
    <row r="61" ht="12.75">
      <c r="E61" s="34" t="s">
        <v>116</v>
      </c>
    </row>
    <row r="62" ht="12.75">
      <c r="E62" s="34" t="s">
        <v>117</v>
      </c>
    </row>
    <row r="63" ht="12.75">
      <c r="E63" s="34" t="s">
        <v>118</v>
      </c>
    </row>
    <row r="66" spans="1:2" ht="17.25">
      <c r="A66" s="36" t="s">
        <v>119</v>
      </c>
      <c r="B66" s="36"/>
    </row>
    <row r="67" spans="1:2" ht="15">
      <c r="A67" s="45" t="s">
        <v>231</v>
      </c>
      <c r="B67" s="45"/>
    </row>
    <row r="68" spans="1:2" ht="14.25">
      <c r="A68" s="47" t="s">
        <v>121</v>
      </c>
      <c r="B68" s="48"/>
    </row>
    <row r="69" spans="1:5" ht="13.5">
      <c r="A69" s="49" t="s">
        <v>0</v>
      </c>
      <c r="B69" s="49" t="s">
        <v>122</v>
      </c>
      <c r="C69" s="49" t="s">
        <v>123</v>
      </c>
      <c r="D69" s="49" t="s">
        <v>7</v>
      </c>
      <c r="E69" s="49" t="s">
        <v>124</v>
      </c>
    </row>
    <row r="70" spans="1:5" ht="12.75">
      <c r="A70" s="46" t="s">
        <v>921</v>
      </c>
      <c r="B70" s="34" t="s">
        <v>125</v>
      </c>
      <c r="C70" s="34" t="s">
        <v>126</v>
      </c>
      <c r="D70" s="34" t="s">
        <v>317</v>
      </c>
      <c r="E70" s="50" t="s">
        <v>960</v>
      </c>
    </row>
    <row r="72" spans="1:2" ht="14.25">
      <c r="A72" s="47" t="s">
        <v>132</v>
      </c>
      <c r="B72" s="48"/>
    </row>
    <row r="73" spans="1:5" ht="13.5">
      <c r="A73" s="49" t="s">
        <v>0</v>
      </c>
      <c r="B73" s="49" t="s">
        <v>122</v>
      </c>
      <c r="C73" s="49" t="s">
        <v>123</v>
      </c>
      <c r="D73" s="49" t="s">
        <v>7</v>
      </c>
      <c r="E73" s="49" t="s">
        <v>124</v>
      </c>
    </row>
    <row r="74" spans="1:5" ht="12.75">
      <c r="A74" s="46" t="s">
        <v>915</v>
      </c>
      <c r="B74" s="34" t="s">
        <v>132</v>
      </c>
      <c r="C74" s="34" t="s">
        <v>235</v>
      </c>
      <c r="D74" s="34" t="s">
        <v>39</v>
      </c>
      <c r="E74" s="50" t="s">
        <v>961</v>
      </c>
    </row>
    <row r="75" spans="1:5" ht="12.75">
      <c r="A75" s="46" t="s">
        <v>912</v>
      </c>
      <c r="B75" s="34" t="s">
        <v>132</v>
      </c>
      <c r="C75" s="34" t="s">
        <v>240</v>
      </c>
      <c r="D75" s="34" t="s">
        <v>49</v>
      </c>
      <c r="E75" s="50" t="s">
        <v>962</v>
      </c>
    </row>
    <row r="76" spans="1:5" ht="12.75">
      <c r="A76" s="46" t="s">
        <v>917</v>
      </c>
      <c r="B76" s="34" t="s">
        <v>132</v>
      </c>
      <c r="C76" s="34" t="s">
        <v>139</v>
      </c>
      <c r="D76" s="34" t="s">
        <v>37</v>
      </c>
      <c r="E76" s="50" t="s">
        <v>963</v>
      </c>
    </row>
    <row r="77" spans="1:5" ht="12.75">
      <c r="A77" s="46" t="s">
        <v>273</v>
      </c>
      <c r="B77" s="34" t="s">
        <v>132</v>
      </c>
      <c r="C77" s="34" t="s">
        <v>424</v>
      </c>
      <c r="D77" s="34" t="s">
        <v>278</v>
      </c>
      <c r="E77" s="50" t="s">
        <v>964</v>
      </c>
    </row>
    <row r="79" spans="1:2" ht="14.25">
      <c r="A79" s="47" t="s">
        <v>152</v>
      </c>
      <c r="B79" s="48"/>
    </row>
    <row r="80" spans="1:5" ht="13.5">
      <c r="A80" s="49" t="s">
        <v>0</v>
      </c>
      <c r="B80" s="49" t="s">
        <v>122</v>
      </c>
      <c r="C80" s="49" t="s">
        <v>123</v>
      </c>
      <c r="D80" s="49" t="s">
        <v>7</v>
      </c>
      <c r="E80" s="49" t="s">
        <v>124</v>
      </c>
    </row>
    <row r="81" spans="1:5" ht="12.75">
      <c r="A81" s="46" t="s">
        <v>273</v>
      </c>
      <c r="B81" s="34" t="s">
        <v>153</v>
      </c>
      <c r="C81" s="34" t="s">
        <v>424</v>
      </c>
      <c r="D81" s="34" t="s">
        <v>278</v>
      </c>
      <c r="E81" s="50" t="s">
        <v>965</v>
      </c>
    </row>
    <row r="84" spans="1:2" ht="15">
      <c r="A84" s="45" t="s">
        <v>120</v>
      </c>
      <c r="B84" s="45"/>
    </row>
    <row r="85" spans="1:2" ht="14.25">
      <c r="A85" s="47" t="s">
        <v>121</v>
      </c>
      <c r="B85" s="48"/>
    </row>
    <row r="86" spans="1:5" ht="13.5">
      <c r="A86" s="49" t="s">
        <v>0</v>
      </c>
      <c r="B86" s="49" t="s">
        <v>122</v>
      </c>
      <c r="C86" s="49" t="s">
        <v>123</v>
      </c>
      <c r="D86" s="49" t="s">
        <v>7</v>
      </c>
      <c r="E86" s="49" t="s">
        <v>124</v>
      </c>
    </row>
    <row r="87" spans="1:5" ht="12.75">
      <c r="A87" s="46" t="s">
        <v>53</v>
      </c>
      <c r="B87" s="34" t="s">
        <v>125</v>
      </c>
      <c r="C87" s="34" t="s">
        <v>126</v>
      </c>
      <c r="D87" s="34" t="s">
        <v>60</v>
      </c>
      <c r="E87" s="50" t="s">
        <v>966</v>
      </c>
    </row>
    <row r="88" spans="1:5" ht="12.75">
      <c r="A88" s="46" t="s">
        <v>14</v>
      </c>
      <c r="B88" s="34" t="s">
        <v>125</v>
      </c>
      <c r="C88" s="34" t="s">
        <v>129</v>
      </c>
      <c r="D88" s="34" t="s">
        <v>22</v>
      </c>
      <c r="E88" s="50" t="s">
        <v>967</v>
      </c>
    </row>
    <row r="89" spans="1:5" ht="12.75">
      <c r="A89" s="46" t="s">
        <v>929</v>
      </c>
      <c r="B89" s="34" t="s">
        <v>125</v>
      </c>
      <c r="C89" s="34" t="s">
        <v>139</v>
      </c>
      <c r="D89" s="34" t="s">
        <v>213</v>
      </c>
      <c r="E89" s="50" t="s">
        <v>968</v>
      </c>
    </row>
    <row r="90" spans="1:5" ht="12.75">
      <c r="A90" s="46" t="s">
        <v>305</v>
      </c>
      <c r="B90" s="34" t="s">
        <v>125</v>
      </c>
      <c r="C90" s="34" t="s">
        <v>232</v>
      </c>
      <c r="D90" s="34" t="s">
        <v>66</v>
      </c>
      <c r="E90" s="50" t="s">
        <v>969</v>
      </c>
    </row>
    <row r="92" spans="1:2" ht="14.25">
      <c r="A92" s="47" t="s">
        <v>132</v>
      </c>
      <c r="B92" s="48"/>
    </row>
    <row r="93" spans="1:5" ht="13.5">
      <c r="A93" s="49" t="s">
        <v>0</v>
      </c>
      <c r="B93" s="49" t="s">
        <v>122</v>
      </c>
      <c r="C93" s="49" t="s">
        <v>123</v>
      </c>
      <c r="D93" s="49" t="s">
        <v>7</v>
      </c>
      <c r="E93" s="49" t="s">
        <v>124</v>
      </c>
    </row>
    <row r="94" spans="1:5" ht="12.75">
      <c r="A94" s="46" t="s">
        <v>954</v>
      </c>
      <c r="B94" s="34" t="s">
        <v>132</v>
      </c>
      <c r="C94" s="34" t="s">
        <v>970</v>
      </c>
      <c r="D94" s="34" t="s">
        <v>958</v>
      </c>
      <c r="E94" s="50" t="s">
        <v>971</v>
      </c>
    </row>
    <row r="95" spans="1:5" ht="12.75">
      <c r="A95" s="46" t="s">
        <v>944</v>
      </c>
      <c r="B95" s="34" t="s">
        <v>132</v>
      </c>
      <c r="C95" s="34" t="s">
        <v>142</v>
      </c>
      <c r="D95" s="34" t="s">
        <v>947</v>
      </c>
      <c r="E95" s="50" t="s">
        <v>972</v>
      </c>
    </row>
    <row r="96" spans="1:5" ht="12.75">
      <c r="A96" s="46" t="s">
        <v>933</v>
      </c>
      <c r="B96" s="34" t="s">
        <v>132</v>
      </c>
      <c r="C96" s="34" t="s">
        <v>139</v>
      </c>
      <c r="D96" s="34" t="s">
        <v>96</v>
      </c>
      <c r="E96" s="50" t="s">
        <v>973</v>
      </c>
    </row>
    <row r="97" spans="1:5" ht="12.75">
      <c r="A97" s="46" t="s">
        <v>508</v>
      </c>
      <c r="B97" s="34" t="s">
        <v>132</v>
      </c>
      <c r="C97" s="34" t="s">
        <v>235</v>
      </c>
      <c r="D97" s="34" t="s">
        <v>71</v>
      </c>
      <c r="E97" s="50" t="s">
        <v>974</v>
      </c>
    </row>
    <row r="98" spans="1:5" ht="12.75">
      <c r="A98" s="46" t="s">
        <v>108</v>
      </c>
      <c r="B98" s="34" t="s">
        <v>132</v>
      </c>
      <c r="C98" s="34" t="s">
        <v>136</v>
      </c>
      <c r="D98" s="34" t="s">
        <v>59</v>
      </c>
      <c r="E98" s="50" t="s">
        <v>975</v>
      </c>
    </row>
    <row r="99" spans="1:5" ht="12.75">
      <c r="A99" s="46" t="s">
        <v>941</v>
      </c>
      <c r="B99" s="34" t="s">
        <v>132</v>
      </c>
      <c r="C99" s="34" t="s">
        <v>133</v>
      </c>
      <c r="D99" s="34" t="s">
        <v>58</v>
      </c>
      <c r="E99" s="50" t="s">
        <v>976</v>
      </c>
    </row>
    <row r="100" spans="1:5" ht="12.75">
      <c r="A100" s="46" t="s">
        <v>938</v>
      </c>
      <c r="B100" s="34" t="s">
        <v>132</v>
      </c>
      <c r="C100" s="34" t="s">
        <v>126</v>
      </c>
      <c r="D100" s="34" t="s">
        <v>33</v>
      </c>
      <c r="E100" s="50" t="s">
        <v>977</v>
      </c>
    </row>
    <row r="101" spans="1:5" ht="12.75">
      <c r="A101" s="46" t="s">
        <v>77</v>
      </c>
      <c r="B101" s="34" t="s">
        <v>132</v>
      </c>
      <c r="C101" s="34" t="s">
        <v>149</v>
      </c>
      <c r="D101" s="34" t="s">
        <v>22</v>
      </c>
      <c r="E101" s="50" t="s">
        <v>438</v>
      </c>
    </row>
    <row r="103" spans="1:2" ht="14.25">
      <c r="A103" s="47" t="s">
        <v>152</v>
      </c>
      <c r="B103" s="48"/>
    </row>
    <row r="104" spans="1:5" ht="13.5">
      <c r="A104" s="49" t="s">
        <v>0</v>
      </c>
      <c r="B104" s="49" t="s">
        <v>122</v>
      </c>
      <c r="C104" s="49" t="s">
        <v>123</v>
      </c>
      <c r="D104" s="49" t="s">
        <v>7</v>
      </c>
      <c r="E104" s="49" t="s">
        <v>124</v>
      </c>
    </row>
    <row r="105" spans="1:5" ht="12.75">
      <c r="A105" s="46" t="s">
        <v>924</v>
      </c>
      <c r="B105" s="34" t="s">
        <v>447</v>
      </c>
      <c r="C105" s="34" t="s">
        <v>232</v>
      </c>
      <c r="D105" s="34" t="s">
        <v>50</v>
      </c>
      <c r="E105" s="50" t="s">
        <v>978</v>
      </c>
    </row>
    <row r="106" spans="1:5" ht="12.75">
      <c r="A106" s="46" t="s">
        <v>949</v>
      </c>
      <c r="B106" s="34" t="s">
        <v>153</v>
      </c>
      <c r="C106" s="34" t="s">
        <v>136</v>
      </c>
      <c r="D106" s="34" t="s">
        <v>96</v>
      </c>
      <c r="E106" s="50" t="s">
        <v>979</v>
      </c>
    </row>
    <row r="107" spans="1:5" ht="12.75">
      <c r="A107" s="46" t="s">
        <v>359</v>
      </c>
      <c r="B107" s="34" t="s">
        <v>155</v>
      </c>
      <c r="C107" s="34" t="s">
        <v>149</v>
      </c>
      <c r="D107" s="34" t="s">
        <v>27</v>
      </c>
      <c r="E107" s="50" t="s">
        <v>980</v>
      </c>
    </row>
    <row r="108" spans="1:5" ht="12.75">
      <c r="A108" s="46" t="s">
        <v>77</v>
      </c>
      <c r="B108" s="34" t="s">
        <v>153</v>
      </c>
      <c r="C108" s="34" t="s">
        <v>149</v>
      </c>
      <c r="D108" s="34" t="s">
        <v>22</v>
      </c>
      <c r="E108" s="50" t="s">
        <v>981</v>
      </c>
    </row>
  </sheetData>
  <sheetProtection/>
  <mergeCells count="26">
    <mergeCell ref="A45:L45"/>
    <mergeCell ref="A48:L48"/>
    <mergeCell ref="A51:L51"/>
    <mergeCell ref="A55:L55"/>
    <mergeCell ref="A21:L21"/>
    <mergeCell ref="A24:L24"/>
    <mergeCell ref="A28:L28"/>
    <mergeCell ref="A31:L31"/>
    <mergeCell ref="A36:L36"/>
    <mergeCell ref="A40:L40"/>
    <mergeCell ref="M3:M4"/>
    <mergeCell ref="A5:L5"/>
    <mergeCell ref="A9:L9"/>
    <mergeCell ref="A12:L12"/>
    <mergeCell ref="A15:L15"/>
    <mergeCell ref="A18:L1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selection activeCell="G3" sqref="G3:J3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33.50390625" style="34" bestFit="1" customWidth="1"/>
    <col min="7" max="9" width="5.50390625" style="34" bestFit="1" customWidth="1"/>
    <col min="10" max="10" width="4.875" style="34" bestFit="1" customWidth="1"/>
    <col min="11" max="13" width="5.50390625" style="34" bestFit="1" customWidth="1"/>
    <col min="14" max="14" width="4.875" style="34" bestFit="1" customWidth="1"/>
    <col min="15" max="17" width="5.50390625" style="34" bestFit="1" customWidth="1"/>
    <col min="18" max="18" width="4.875" style="34" bestFit="1" customWidth="1"/>
    <col min="19" max="19" width="6.625" style="34" bestFit="1" customWidth="1"/>
    <col min="20" max="20" width="8.50390625" style="34" bestFit="1" customWidth="1"/>
    <col min="21" max="21" width="12.125" style="34" bestFit="1" customWidth="1"/>
  </cols>
  <sheetData>
    <row r="1" spans="1:21" s="1" customFormat="1" ht="39.75" customHeight="1">
      <c r="A1" s="55" t="s">
        <v>1307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1" customFormat="1" ht="52.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7" customFormat="1" ht="39.7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4</v>
      </c>
      <c r="H3" s="65"/>
      <c r="I3" s="65"/>
      <c r="J3" s="51"/>
      <c r="K3" s="61" t="s">
        <v>5</v>
      </c>
      <c r="L3" s="65"/>
      <c r="M3" s="65"/>
      <c r="N3" s="51"/>
      <c r="O3" s="61" t="s">
        <v>6</v>
      </c>
      <c r="P3" s="65"/>
      <c r="Q3" s="65"/>
      <c r="R3" s="51"/>
      <c r="S3" s="66" t="s">
        <v>7</v>
      </c>
      <c r="T3" s="65" t="s">
        <v>9</v>
      </c>
      <c r="U3" s="51" t="s">
        <v>8</v>
      </c>
    </row>
    <row r="4" spans="1:21" s="7" customFormat="1" ht="39.7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67"/>
      <c r="T4" s="64"/>
      <c r="U4" s="52"/>
    </row>
    <row r="5" spans="1:20" ht="15">
      <c r="A5" s="53" t="s">
        <v>486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 ht="12.75">
      <c r="A6" s="37" t="s">
        <v>487</v>
      </c>
      <c r="B6" s="37" t="s">
        <v>488</v>
      </c>
      <c r="C6" s="37" t="s">
        <v>489</v>
      </c>
      <c r="D6" s="37" t="str">
        <f>"1,2038"</f>
        <v>1,2038</v>
      </c>
      <c r="E6" s="37" t="s">
        <v>17</v>
      </c>
      <c r="F6" s="37" t="s">
        <v>490</v>
      </c>
      <c r="G6" s="37" t="s">
        <v>181</v>
      </c>
      <c r="H6" s="38" t="s">
        <v>278</v>
      </c>
      <c r="I6" s="38"/>
      <c r="J6" s="38"/>
      <c r="K6" s="37" t="s">
        <v>491</v>
      </c>
      <c r="L6" s="37" t="s">
        <v>189</v>
      </c>
      <c r="M6" s="38"/>
      <c r="N6" s="38"/>
      <c r="O6" s="37" t="s">
        <v>290</v>
      </c>
      <c r="P6" s="37" t="s">
        <v>183</v>
      </c>
      <c r="Q6" s="37" t="s">
        <v>23</v>
      </c>
      <c r="R6" s="38"/>
      <c r="S6" s="37">
        <v>200</v>
      </c>
      <c r="T6" s="37" t="str">
        <f>"240,7600"</f>
        <v>240,7600</v>
      </c>
      <c r="U6" s="37" t="s">
        <v>492</v>
      </c>
    </row>
    <row r="8" spans="1:20" ht="15">
      <c r="A8" s="54" t="s">
        <v>13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1" ht="12.75">
      <c r="A9" s="37" t="s">
        <v>493</v>
      </c>
      <c r="B9" s="37" t="s">
        <v>494</v>
      </c>
      <c r="C9" s="37" t="s">
        <v>171</v>
      </c>
      <c r="D9" s="37" t="str">
        <f>"0,8411"</f>
        <v>0,8411</v>
      </c>
      <c r="E9" s="37" t="s">
        <v>17</v>
      </c>
      <c r="F9" s="37" t="s">
        <v>495</v>
      </c>
      <c r="G9" s="37" t="s">
        <v>174</v>
      </c>
      <c r="H9" s="37" t="s">
        <v>68</v>
      </c>
      <c r="I9" s="37" t="s">
        <v>47</v>
      </c>
      <c r="J9" s="38"/>
      <c r="K9" s="37" t="s">
        <v>289</v>
      </c>
      <c r="L9" s="37" t="s">
        <v>496</v>
      </c>
      <c r="M9" s="38" t="s">
        <v>183</v>
      </c>
      <c r="N9" s="38"/>
      <c r="O9" s="37" t="s">
        <v>19</v>
      </c>
      <c r="P9" s="38" t="s">
        <v>222</v>
      </c>
      <c r="Q9" s="38" t="s">
        <v>222</v>
      </c>
      <c r="R9" s="38"/>
      <c r="S9" s="37">
        <v>367.5</v>
      </c>
      <c r="T9" s="37" t="str">
        <f>"309,0859"</f>
        <v>309,0859</v>
      </c>
      <c r="U9" s="37"/>
    </row>
    <row r="11" spans="1:20" ht="15">
      <c r="A11" s="54" t="s">
        <v>176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1" ht="12.75">
      <c r="A12" s="37" t="s">
        <v>497</v>
      </c>
      <c r="B12" s="37" t="s">
        <v>498</v>
      </c>
      <c r="C12" s="37" t="s">
        <v>499</v>
      </c>
      <c r="D12" s="37" t="str">
        <f>"0,7570"</f>
        <v>0,7570</v>
      </c>
      <c r="E12" s="37" t="s">
        <v>17</v>
      </c>
      <c r="F12" s="37" t="s">
        <v>495</v>
      </c>
      <c r="G12" s="37" t="s">
        <v>212</v>
      </c>
      <c r="H12" s="38" t="s">
        <v>227</v>
      </c>
      <c r="I12" s="38" t="s">
        <v>227</v>
      </c>
      <c r="J12" s="38"/>
      <c r="K12" s="37" t="s">
        <v>87</v>
      </c>
      <c r="L12" s="38" t="s">
        <v>174</v>
      </c>
      <c r="M12" s="37" t="s">
        <v>174</v>
      </c>
      <c r="N12" s="38"/>
      <c r="O12" s="37" t="s">
        <v>39</v>
      </c>
      <c r="P12" s="37" t="s">
        <v>51</v>
      </c>
      <c r="Q12" s="37" t="s">
        <v>500</v>
      </c>
      <c r="R12" s="38"/>
      <c r="S12" s="37">
        <v>517.5</v>
      </c>
      <c r="T12" s="37" t="str">
        <f>"391,7734"</f>
        <v>391,7734</v>
      </c>
      <c r="U12" s="37"/>
    </row>
    <row r="14" spans="1:20" ht="15">
      <c r="A14" s="54" t="s">
        <v>191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1" ht="12.75">
      <c r="A15" s="39" t="s">
        <v>501</v>
      </c>
      <c r="B15" s="39" t="s">
        <v>502</v>
      </c>
      <c r="C15" s="39" t="s">
        <v>503</v>
      </c>
      <c r="D15" s="39" t="str">
        <f>"0,6947"</f>
        <v>0,6947</v>
      </c>
      <c r="E15" s="39" t="s">
        <v>17</v>
      </c>
      <c r="F15" s="39" t="s">
        <v>490</v>
      </c>
      <c r="G15" s="39" t="s">
        <v>227</v>
      </c>
      <c r="H15" s="39" t="s">
        <v>20</v>
      </c>
      <c r="I15" s="39" t="s">
        <v>339</v>
      </c>
      <c r="J15" s="40"/>
      <c r="K15" s="39" t="s">
        <v>504</v>
      </c>
      <c r="L15" s="39" t="s">
        <v>190</v>
      </c>
      <c r="M15" s="39" t="s">
        <v>294</v>
      </c>
      <c r="N15" s="40"/>
      <c r="O15" s="39" t="s">
        <v>27</v>
      </c>
      <c r="P15" s="39" t="s">
        <v>505</v>
      </c>
      <c r="Q15" s="39" t="s">
        <v>50</v>
      </c>
      <c r="R15" s="40"/>
      <c r="S15" s="39">
        <v>532.5</v>
      </c>
      <c r="T15" s="39" t="str">
        <f>"369,9278"</f>
        <v>369,9278</v>
      </c>
      <c r="U15" s="39"/>
    </row>
    <row r="16" spans="1:21" ht="12.75">
      <c r="A16" s="43" t="s">
        <v>506</v>
      </c>
      <c r="B16" s="43" t="s">
        <v>507</v>
      </c>
      <c r="C16" s="43" t="s">
        <v>194</v>
      </c>
      <c r="D16" s="43" t="str">
        <f>"0,6892"</f>
        <v>0,6892</v>
      </c>
      <c r="E16" s="43" t="s">
        <v>17</v>
      </c>
      <c r="F16" s="43" t="s">
        <v>101</v>
      </c>
      <c r="G16" s="43" t="s">
        <v>36</v>
      </c>
      <c r="H16" s="44" t="s">
        <v>49</v>
      </c>
      <c r="I16" s="44" t="s">
        <v>49</v>
      </c>
      <c r="J16" s="44"/>
      <c r="K16" s="43" t="s">
        <v>67</v>
      </c>
      <c r="L16" s="44" t="s">
        <v>504</v>
      </c>
      <c r="M16" s="44" t="s">
        <v>504</v>
      </c>
      <c r="N16" s="44"/>
      <c r="O16" s="43" t="s">
        <v>20</v>
      </c>
      <c r="P16" s="44" t="s">
        <v>21</v>
      </c>
      <c r="Q16" s="44" t="s">
        <v>21</v>
      </c>
      <c r="R16" s="44"/>
      <c r="S16" s="43">
        <v>430</v>
      </c>
      <c r="T16" s="43" t="str">
        <f>"296,3560"</f>
        <v>296,3560</v>
      </c>
      <c r="U16" s="43"/>
    </row>
    <row r="17" spans="1:21" ht="12.75">
      <c r="A17" s="43" t="s">
        <v>508</v>
      </c>
      <c r="B17" s="43" t="s">
        <v>509</v>
      </c>
      <c r="C17" s="43" t="s">
        <v>510</v>
      </c>
      <c r="D17" s="43" t="str">
        <f>"0,6955"</f>
        <v>0,6955</v>
      </c>
      <c r="E17" s="43" t="s">
        <v>276</v>
      </c>
      <c r="F17" s="43" t="s">
        <v>18</v>
      </c>
      <c r="G17" s="43" t="s">
        <v>66</v>
      </c>
      <c r="H17" s="43" t="s">
        <v>22</v>
      </c>
      <c r="I17" s="44"/>
      <c r="J17" s="44"/>
      <c r="K17" s="43" t="s">
        <v>68</v>
      </c>
      <c r="L17" s="43" t="s">
        <v>69</v>
      </c>
      <c r="M17" s="44"/>
      <c r="N17" s="44"/>
      <c r="O17" s="43" t="s">
        <v>70</v>
      </c>
      <c r="P17" s="43" t="s">
        <v>71</v>
      </c>
      <c r="Q17" s="44"/>
      <c r="R17" s="44"/>
      <c r="S17" s="43">
        <v>565</v>
      </c>
      <c r="T17" s="43" t="str">
        <f>"392,9293"</f>
        <v>392,9293</v>
      </c>
      <c r="U17" s="43"/>
    </row>
    <row r="18" spans="1:21" ht="12.75">
      <c r="A18" s="41" t="s">
        <v>511</v>
      </c>
      <c r="B18" s="41" t="s">
        <v>512</v>
      </c>
      <c r="C18" s="41" t="s">
        <v>320</v>
      </c>
      <c r="D18" s="41" t="str">
        <f>"0,7012"</f>
        <v>0,7012</v>
      </c>
      <c r="E18" s="41" t="s">
        <v>17</v>
      </c>
      <c r="F18" s="41" t="s">
        <v>101</v>
      </c>
      <c r="G18" s="42" t="s">
        <v>19</v>
      </c>
      <c r="H18" s="42" t="s">
        <v>222</v>
      </c>
      <c r="I18" s="42" t="s">
        <v>222</v>
      </c>
      <c r="J18" s="42"/>
      <c r="K18" s="42" t="s">
        <v>24</v>
      </c>
      <c r="L18" s="42"/>
      <c r="M18" s="42"/>
      <c r="N18" s="42"/>
      <c r="O18" s="42" t="s">
        <v>19</v>
      </c>
      <c r="P18" s="42"/>
      <c r="Q18" s="42"/>
      <c r="R18" s="42"/>
      <c r="S18" s="41">
        <v>0</v>
      </c>
      <c r="T18" s="41" t="str">
        <f>"0,0000"</f>
        <v>0,0000</v>
      </c>
      <c r="U18" s="41"/>
    </row>
    <row r="20" spans="1:20" ht="15">
      <c r="A20" s="54" t="s">
        <v>28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1" ht="12.75">
      <c r="A21" s="39" t="s">
        <v>513</v>
      </c>
      <c r="B21" s="39" t="s">
        <v>514</v>
      </c>
      <c r="C21" s="39" t="s">
        <v>515</v>
      </c>
      <c r="D21" s="39" t="str">
        <f>"0,6573"</f>
        <v>0,6573</v>
      </c>
      <c r="E21" s="39" t="s">
        <v>17</v>
      </c>
      <c r="F21" s="39" t="s">
        <v>101</v>
      </c>
      <c r="G21" s="39" t="s">
        <v>69</v>
      </c>
      <c r="H21" s="39" t="s">
        <v>317</v>
      </c>
      <c r="I21" s="39" t="s">
        <v>516</v>
      </c>
      <c r="J21" s="40"/>
      <c r="K21" s="39" t="s">
        <v>163</v>
      </c>
      <c r="L21" s="39" t="s">
        <v>164</v>
      </c>
      <c r="M21" s="40" t="s">
        <v>26</v>
      </c>
      <c r="N21" s="40"/>
      <c r="O21" s="39" t="s">
        <v>37</v>
      </c>
      <c r="P21" s="39" t="s">
        <v>222</v>
      </c>
      <c r="Q21" s="39" t="s">
        <v>21</v>
      </c>
      <c r="R21" s="40"/>
      <c r="S21" s="39">
        <v>432.5</v>
      </c>
      <c r="T21" s="39" t="str">
        <f>"284,2822"</f>
        <v>284,2822</v>
      </c>
      <c r="U21" s="39"/>
    </row>
    <row r="22" spans="1:21" ht="12.75">
      <c r="A22" s="41" t="s">
        <v>517</v>
      </c>
      <c r="B22" s="41" t="s">
        <v>518</v>
      </c>
      <c r="C22" s="41" t="s">
        <v>519</v>
      </c>
      <c r="D22" s="41" t="str">
        <f>"0,6969"</f>
        <v>0,6969</v>
      </c>
      <c r="E22" s="41" t="s">
        <v>17</v>
      </c>
      <c r="F22" s="41" t="s">
        <v>101</v>
      </c>
      <c r="G22" s="41" t="s">
        <v>68</v>
      </c>
      <c r="H22" s="41" t="s">
        <v>175</v>
      </c>
      <c r="I22" s="41" t="s">
        <v>69</v>
      </c>
      <c r="J22" s="42"/>
      <c r="K22" s="42" t="s">
        <v>24</v>
      </c>
      <c r="L22" s="41" t="s">
        <v>26</v>
      </c>
      <c r="M22" s="42" t="s">
        <v>167</v>
      </c>
      <c r="N22" s="42"/>
      <c r="O22" s="41" t="s">
        <v>37</v>
      </c>
      <c r="P22" s="42" t="s">
        <v>212</v>
      </c>
      <c r="Q22" s="42" t="s">
        <v>222</v>
      </c>
      <c r="R22" s="42"/>
      <c r="S22" s="41">
        <v>395</v>
      </c>
      <c r="T22" s="41" t="str">
        <f>"275,2885"</f>
        <v>275,2885</v>
      </c>
      <c r="U22" s="41"/>
    </row>
    <row r="24" spans="1:20" ht="15">
      <c r="A24" s="54" t="s">
        <v>52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1" ht="12.75">
      <c r="A25" s="39" t="s">
        <v>520</v>
      </c>
      <c r="B25" s="39" t="s">
        <v>521</v>
      </c>
      <c r="C25" s="39" t="s">
        <v>74</v>
      </c>
      <c r="D25" s="39" t="str">
        <f>"0,6141"</f>
        <v>0,6141</v>
      </c>
      <c r="E25" s="39" t="s">
        <v>17</v>
      </c>
      <c r="F25" s="39" t="s">
        <v>522</v>
      </c>
      <c r="G25" s="39" t="s">
        <v>39</v>
      </c>
      <c r="H25" s="39" t="s">
        <v>51</v>
      </c>
      <c r="I25" s="39" t="s">
        <v>71</v>
      </c>
      <c r="J25" s="40"/>
      <c r="K25" s="39" t="s">
        <v>36</v>
      </c>
      <c r="L25" s="39" t="s">
        <v>516</v>
      </c>
      <c r="M25" s="40" t="s">
        <v>184</v>
      </c>
      <c r="N25" s="40"/>
      <c r="O25" s="39" t="s">
        <v>221</v>
      </c>
      <c r="P25" s="39" t="s">
        <v>523</v>
      </c>
      <c r="Q25" s="39" t="s">
        <v>524</v>
      </c>
      <c r="R25" s="40"/>
      <c r="S25" s="39">
        <v>635</v>
      </c>
      <c r="T25" s="39" t="str">
        <f>"389,9852"</f>
        <v>389,9852</v>
      </c>
      <c r="U25" s="39"/>
    </row>
    <row r="26" spans="1:21" ht="12.75">
      <c r="A26" s="43" t="s">
        <v>525</v>
      </c>
      <c r="B26" s="43" t="s">
        <v>526</v>
      </c>
      <c r="C26" s="43" t="s">
        <v>334</v>
      </c>
      <c r="D26" s="43" t="str">
        <f>"0,6119"</f>
        <v>0,6119</v>
      </c>
      <c r="E26" s="43" t="s">
        <v>17</v>
      </c>
      <c r="F26" s="43" t="s">
        <v>101</v>
      </c>
      <c r="G26" s="43" t="s">
        <v>264</v>
      </c>
      <c r="H26" s="43" t="s">
        <v>39</v>
      </c>
      <c r="I26" s="43" t="s">
        <v>40</v>
      </c>
      <c r="J26" s="44"/>
      <c r="K26" s="43" t="s">
        <v>36</v>
      </c>
      <c r="L26" s="43" t="s">
        <v>516</v>
      </c>
      <c r="M26" s="43" t="s">
        <v>19</v>
      </c>
      <c r="N26" s="44"/>
      <c r="O26" s="43" t="s">
        <v>264</v>
      </c>
      <c r="P26" s="43" t="s">
        <v>33</v>
      </c>
      <c r="Q26" s="43" t="s">
        <v>71</v>
      </c>
      <c r="R26" s="44"/>
      <c r="S26" s="43">
        <v>612.5</v>
      </c>
      <c r="T26" s="43" t="str">
        <f>"374,7581"</f>
        <v>374,7581</v>
      </c>
      <c r="U26" s="43"/>
    </row>
    <row r="27" spans="1:21" ht="12.75">
      <c r="A27" s="43" t="s">
        <v>527</v>
      </c>
      <c r="B27" s="43" t="s">
        <v>528</v>
      </c>
      <c r="C27" s="43" t="s">
        <v>529</v>
      </c>
      <c r="D27" s="43" t="str">
        <f>"0,6173"</f>
        <v>0,6173</v>
      </c>
      <c r="E27" s="43" t="s">
        <v>530</v>
      </c>
      <c r="F27" s="43" t="s">
        <v>531</v>
      </c>
      <c r="G27" s="43" t="s">
        <v>37</v>
      </c>
      <c r="H27" s="43" t="s">
        <v>227</v>
      </c>
      <c r="I27" s="44" t="s">
        <v>21</v>
      </c>
      <c r="J27" s="44"/>
      <c r="K27" s="43" t="s">
        <v>87</v>
      </c>
      <c r="L27" s="43" t="s">
        <v>190</v>
      </c>
      <c r="M27" s="43" t="s">
        <v>294</v>
      </c>
      <c r="N27" s="44"/>
      <c r="O27" s="43" t="s">
        <v>66</v>
      </c>
      <c r="P27" s="44" t="s">
        <v>70</v>
      </c>
      <c r="Q27" s="43" t="s">
        <v>39</v>
      </c>
      <c r="R27" s="44"/>
      <c r="S27" s="43">
        <v>517.5</v>
      </c>
      <c r="T27" s="43" t="str">
        <f>"319,4527"</f>
        <v>319,4527</v>
      </c>
      <c r="U27" s="43"/>
    </row>
    <row r="28" spans="1:21" ht="12.75">
      <c r="A28" s="43" t="s">
        <v>532</v>
      </c>
      <c r="B28" s="43" t="s">
        <v>533</v>
      </c>
      <c r="C28" s="43" t="s">
        <v>534</v>
      </c>
      <c r="D28" s="43" t="str">
        <f>"0,6192"</f>
        <v>0,6192</v>
      </c>
      <c r="E28" s="43" t="s">
        <v>535</v>
      </c>
      <c r="F28" s="43" t="s">
        <v>536</v>
      </c>
      <c r="G28" s="44" t="s">
        <v>22</v>
      </c>
      <c r="H28" s="44" t="s">
        <v>22</v>
      </c>
      <c r="I28" s="44" t="s">
        <v>22</v>
      </c>
      <c r="J28" s="44"/>
      <c r="K28" s="44" t="s">
        <v>87</v>
      </c>
      <c r="L28" s="44"/>
      <c r="M28" s="44"/>
      <c r="N28" s="44"/>
      <c r="O28" s="44" t="s">
        <v>102</v>
      </c>
      <c r="P28" s="44"/>
      <c r="Q28" s="44"/>
      <c r="R28" s="44"/>
      <c r="S28" s="43">
        <v>0</v>
      </c>
      <c r="T28" s="43" t="str">
        <f>"0,0000"</f>
        <v>0,0000</v>
      </c>
      <c r="U28" s="43"/>
    </row>
    <row r="29" spans="1:21" ht="12.75">
      <c r="A29" s="41" t="s">
        <v>537</v>
      </c>
      <c r="B29" s="41" t="s">
        <v>538</v>
      </c>
      <c r="C29" s="41" t="s">
        <v>334</v>
      </c>
      <c r="D29" s="41" t="str">
        <f>"0,6712"</f>
        <v>0,6712</v>
      </c>
      <c r="E29" s="41" t="s">
        <v>172</v>
      </c>
      <c r="F29" s="41" t="s">
        <v>101</v>
      </c>
      <c r="G29" s="41" t="s">
        <v>222</v>
      </c>
      <c r="H29" s="41" t="s">
        <v>227</v>
      </c>
      <c r="I29" s="41" t="s">
        <v>20</v>
      </c>
      <c r="J29" s="42"/>
      <c r="K29" s="42" t="s">
        <v>174</v>
      </c>
      <c r="L29" s="41" t="s">
        <v>294</v>
      </c>
      <c r="M29" s="41" t="s">
        <v>47</v>
      </c>
      <c r="N29" s="42"/>
      <c r="O29" s="41" t="s">
        <v>264</v>
      </c>
      <c r="P29" s="41" t="s">
        <v>70</v>
      </c>
      <c r="Q29" s="41" t="s">
        <v>39</v>
      </c>
      <c r="R29" s="42"/>
      <c r="S29" s="41">
        <v>525</v>
      </c>
      <c r="T29" s="41" t="str">
        <f>"352,3797"</f>
        <v>352,3797</v>
      </c>
      <c r="U29" s="41"/>
    </row>
    <row r="31" spans="1:20" ht="15">
      <c r="A31" s="54" t="s">
        <v>76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</row>
    <row r="32" spans="1:21" ht="12.75">
      <c r="A32" s="39" t="s">
        <v>539</v>
      </c>
      <c r="B32" s="39" t="s">
        <v>540</v>
      </c>
      <c r="C32" s="39" t="s">
        <v>541</v>
      </c>
      <c r="D32" s="39" t="str">
        <f>"0,6019"</f>
        <v>0,6019</v>
      </c>
      <c r="E32" s="39" t="s">
        <v>530</v>
      </c>
      <c r="F32" s="39" t="s">
        <v>101</v>
      </c>
      <c r="G32" s="39" t="s">
        <v>33</v>
      </c>
      <c r="H32" s="40" t="s">
        <v>71</v>
      </c>
      <c r="I32" s="39" t="s">
        <v>71</v>
      </c>
      <c r="J32" s="40"/>
      <c r="K32" s="39" t="s">
        <v>317</v>
      </c>
      <c r="L32" s="40" t="s">
        <v>516</v>
      </c>
      <c r="M32" s="39" t="s">
        <v>516</v>
      </c>
      <c r="N32" s="40"/>
      <c r="O32" s="39" t="s">
        <v>56</v>
      </c>
      <c r="P32" s="39" t="s">
        <v>93</v>
      </c>
      <c r="Q32" s="40" t="s">
        <v>59</v>
      </c>
      <c r="R32" s="40"/>
      <c r="S32" s="39">
        <v>657.5</v>
      </c>
      <c r="T32" s="39" t="str">
        <f>"395,7821"</f>
        <v>395,7821</v>
      </c>
      <c r="U32" s="39"/>
    </row>
    <row r="33" spans="1:21" ht="12.75">
      <c r="A33" s="43" t="s">
        <v>542</v>
      </c>
      <c r="B33" s="43" t="s">
        <v>543</v>
      </c>
      <c r="C33" s="43" t="s">
        <v>544</v>
      </c>
      <c r="D33" s="43" t="str">
        <f>"0,5856"</f>
        <v>0,5856</v>
      </c>
      <c r="E33" s="43" t="s">
        <v>530</v>
      </c>
      <c r="F33" s="43" t="s">
        <v>101</v>
      </c>
      <c r="G33" s="43" t="s">
        <v>21</v>
      </c>
      <c r="H33" s="43" t="s">
        <v>198</v>
      </c>
      <c r="I33" s="43" t="s">
        <v>22</v>
      </c>
      <c r="J33" s="44"/>
      <c r="K33" s="43" t="s">
        <v>36</v>
      </c>
      <c r="L33" s="44" t="s">
        <v>49</v>
      </c>
      <c r="M33" s="43" t="s">
        <v>49</v>
      </c>
      <c r="N33" s="44"/>
      <c r="O33" s="43" t="s">
        <v>27</v>
      </c>
      <c r="P33" s="43" t="s">
        <v>50</v>
      </c>
      <c r="Q33" s="43" t="s">
        <v>51</v>
      </c>
      <c r="R33" s="44"/>
      <c r="S33" s="43">
        <v>575</v>
      </c>
      <c r="T33" s="43" t="str">
        <f>"336,7200"</f>
        <v>336,7200</v>
      </c>
      <c r="U33" s="43"/>
    </row>
    <row r="34" spans="1:21" ht="12.75">
      <c r="A34" s="43" t="s">
        <v>545</v>
      </c>
      <c r="B34" s="43" t="s">
        <v>546</v>
      </c>
      <c r="C34" s="43" t="s">
        <v>547</v>
      </c>
      <c r="D34" s="43" t="str">
        <f>"0,5938"</f>
        <v>0,5938</v>
      </c>
      <c r="E34" s="43" t="s">
        <v>530</v>
      </c>
      <c r="F34" s="43" t="s">
        <v>101</v>
      </c>
      <c r="G34" s="43" t="s">
        <v>212</v>
      </c>
      <c r="H34" s="44" t="s">
        <v>227</v>
      </c>
      <c r="I34" s="44" t="s">
        <v>227</v>
      </c>
      <c r="J34" s="44"/>
      <c r="K34" s="43" t="s">
        <v>87</v>
      </c>
      <c r="L34" s="43" t="s">
        <v>190</v>
      </c>
      <c r="M34" s="44" t="s">
        <v>47</v>
      </c>
      <c r="N34" s="44"/>
      <c r="O34" s="43" t="s">
        <v>227</v>
      </c>
      <c r="P34" s="43" t="s">
        <v>27</v>
      </c>
      <c r="Q34" s="44" t="s">
        <v>70</v>
      </c>
      <c r="R34" s="44"/>
      <c r="S34" s="43">
        <v>482.5</v>
      </c>
      <c r="T34" s="43" t="str">
        <f>"286,4844"</f>
        <v>286,4844</v>
      </c>
      <c r="U34" s="43"/>
    </row>
    <row r="35" spans="1:21" ht="12.75">
      <c r="A35" s="43" t="s">
        <v>548</v>
      </c>
      <c r="B35" s="43" t="s">
        <v>549</v>
      </c>
      <c r="C35" s="43" t="s">
        <v>550</v>
      </c>
      <c r="D35" s="43" t="str">
        <f>"0,6227"</f>
        <v>0,6227</v>
      </c>
      <c r="E35" s="43" t="s">
        <v>17</v>
      </c>
      <c r="F35" s="43" t="s">
        <v>551</v>
      </c>
      <c r="G35" s="43" t="s">
        <v>39</v>
      </c>
      <c r="H35" s="43" t="s">
        <v>71</v>
      </c>
      <c r="I35" s="43" t="s">
        <v>34</v>
      </c>
      <c r="J35" s="44"/>
      <c r="K35" s="44" t="s">
        <v>184</v>
      </c>
      <c r="L35" s="43" t="s">
        <v>184</v>
      </c>
      <c r="M35" s="44" t="s">
        <v>38</v>
      </c>
      <c r="N35" s="44"/>
      <c r="O35" s="44" t="s">
        <v>56</v>
      </c>
      <c r="P35" s="43" t="s">
        <v>95</v>
      </c>
      <c r="Q35" s="44" t="s">
        <v>96</v>
      </c>
      <c r="R35" s="44"/>
      <c r="S35" s="43">
        <v>652.5</v>
      </c>
      <c r="T35" s="43" t="str">
        <f>"406,3101"</f>
        <v>406,3101</v>
      </c>
      <c r="U35" s="43"/>
    </row>
    <row r="36" spans="1:21" ht="12.75">
      <c r="A36" s="41" t="s">
        <v>552</v>
      </c>
      <c r="B36" s="41" t="s">
        <v>553</v>
      </c>
      <c r="C36" s="41" t="s">
        <v>554</v>
      </c>
      <c r="D36" s="41" t="str">
        <f>"0,8770"</f>
        <v>0,8770</v>
      </c>
      <c r="E36" s="41" t="s">
        <v>17</v>
      </c>
      <c r="F36" s="41" t="s">
        <v>555</v>
      </c>
      <c r="G36" s="41" t="s">
        <v>24</v>
      </c>
      <c r="H36" s="41" t="s">
        <v>67</v>
      </c>
      <c r="I36" s="41" t="s">
        <v>174</v>
      </c>
      <c r="J36" s="42"/>
      <c r="K36" s="41" t="s">
        <v>26</v>
      </c>
      <c r="L36" s="41" t="s">
        <v>67</v>
      </c>
      <c r="M36" s="42"/>
      <c r="N36" s="42"/>
      <c r="O36" s="41" t="s">
        <v>174</v>
      </c>
      <c r="P36" s="41" t="s">
        <v>69</v>
      </c>
      <c r="Q36" s="41" t="s">
        <v>36</v>
      </c>
      <c r="R36" s="42"/>
      <c r="S36" s="41">
        <v>370</v>
      </c>
      <c r="T36" s="41" t="str">
        <f>"324,4804"</f>
        <v>324,4804</v>
      </c>
      <c r="U36" s="41"/>
    </row>
    <row r="38" spans="1:20" ht="15">
      <c r="A38" s="54" t="s">
        <v>88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1" ht="12.75">
      <c r="A39" s="37" t="s">
        <v>556</v>
      </c>
      <c r="B39" s="37" t="s">
        <v>557</v>
      </c>
      <c r="C39" s="37" t="s">
        <v>558</v>
      </c>
      <c r="D39" s="37" t="str">
        <f>"0,5788"</f>
        <v>0,5788</v>
      </c>
      <c r="E39" s="37" t="s">
        <v>530</v>
      </c>
      <c r="F39" s="37" t="s">
        <v>101</v>
      </c>
      <c r="G39" s="37" t="s">
        <v>49</v>
      </c>
      <c r="H39" s="37" t="s">
        <v>212</v>
      </c>
      <c r="I39" s="37" t="s">
        <v>227</v>
      </c>
      <c r="J39" s="38"/>
      <c r="K39" s="37" t="s">
        <v>174</v>
      </c>
      <c r="L39" s="37" t="s">
        <v>47</v>
      </c>
      <c r="M39" s="37" t="s">
        <v>69</v>
      </c>
      <c r="N39" s="38"/>
      <c r="O39" s="37" t="s">
        <v>212</v>
      </c>
      <c r="P39" s="37" t="s">
        <v>20</v>
      </c>
      <c r="Q39" s="37" t="s">
        <v>66</v>
      </c>
      <c r="R39" s="38"/>
      <c r="S39" s="37">
        <v>500</v>
      </c>
      <c r="T39" s="37" t="str">
        <f>"289,3750"</f>
        <v>289,3750</v>
      </c>
      <c r="U39" s="37"/>
    </row>
    <row r="41" spans="1:20" ht="15">
      <c r="A41" s="54" t="s">
        <v>97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1" ht="12.75">
      <c r="A42" s="39" t="s">
        <v>559</v>
      </c>
      <c r="B42" s="39" t="s">
        <v>560</v>
      </c>
      <c r="C42" s="39" t="s">
        <v>561</v>
      </c>
      <c r="D42" s="39" t="str">
        <f>"0,5541"</f>
        <v>0,5541</v>
      </c>
      <c r="E42" s="39" t="s">
        <v>17</v>
      </c>
      <c r="F42" s="39" t="s">
        <v>562</v>
      </c>
      <c r="G42" s="39" t="s">
        <v>221</v>
      </c>
      <c r="H42" s="39" t="s">
        <v>56</v>
      </c>
      <c r="I42" s="39" t="s">
        <v>95</v>
      </c>
      <c r="J42" s="40"/>
      <c r="K42" s="39" t="s">
        <v>66</v>
      </c>
      <c r="L42" s="39" t="s">
        <v>22</v>
      </c>
      <c r="M42" s="40" t="s">
        <v>264</v>
      </c>
      <c r="N42" s="40"/>
      <c r="O42" s="39" t="s">
        <v>96</v>
      </c>
      <c r="P42" s="39" t="s">
        <v>94</v>
      </c>
      <c r="Q42" s="40"/>
      <c r="R42" s="40"/>
      <c r="S42" s="39">
        <v>760</v>
      </c>
      <c r="T42" s="39" t="str">
        <f>"421,1540"</f>
        <v>421,1540</v>
      </c>
      <c r="U42" s="39"/>
    </row>
    <row r="43" spans="1:21" ht="12.75">
      <c r="A43" s="41" t="s">
        <v>563</v>
      </c>
      <c r="B43" s="41" t="s">
        <v>564</v>
      </c>
      <c r="C43" s="41" t="s">
        <v>565</v>
      </c>
      <c r="D43" s="41" t="str">
        <f>"0,5779"</f>
        <v>0,5779</v>
      </c>
      <c r="E43" s="41" t="s">
        <v>17</v>
      </c>
      <c r="F43" s="41" t="s">
        <v>162</v>
      </c>
      <c r="G43" s="41" t="s">
        <v>22</v>
      </c>
      <c r="H43" s="41" t="s">
        <v>70</v>
      </c>
      <c r="I43" s="41" t="s">
        <v>33</v>
      </c>
      <c r="J43" s="42"/>
      <c r="K43" s="41" t="s">
        <v>27</v>
      </c>
      <c r="L43" s="41" t="s">
        <v>264</v>
      </c>
      <c r="M43" s="41" t="s">
        <v>39</v>
      </c>
      <c r="N43" s="42"/>
      <c r="O43" s="41" t="s">
        <v>221</v>
      </c>
      <c r="P43" s="41" t="s">
        <v>95</v>
      </c>
      <c r="Q43" s="41" t="s">
        <v>58</v>
      </c>
      <c r="R43" s="42"/>
      <c r="S43" s="41">
        <v>705</v>
      </c>
      <c r="T43" s="41" t="str">
        <f>"407,4028"</f>
        <v>407,4028</v>
      </c>
      <c r="U43" s="41"/>
    </row>
    <row r="45" ht="15">
      <c r="E45" s="35" t="s">
        <v>113</v>
      </c>
    </row>
    <row r="46" ht="15">
      <c r="E46" s="35" t="s">
        <v>114</v>
      </c>
    </row>
    <row r="47" ht="15">
      <c r="E47" s="35" t="s">
        <v>115</v>
      </c>
    </row>
    <row r="48" ht="12.75">
      <c r="E48" s="34" t="s">
        <v>116</v>
      </c>
    </row>
    <row r="49" ht="12.75">
      <c r="E49" s="34" t="s">
        <v>117</v>
      </c>
    </row>
    <row r="50" ht="12.75">
      <c r="E50" s="34" t="s">
        <v>118</v>
      </c>
    </row>
    <row r="53" spans="1:2" ht="17.25">
      <c r="A53" s="36" t="s">
        <v>119</v>
      </c>
      <c r="B53" s="36"/>
    </row>
    <row r="54" spans="1:2" ht="15">
      <c r="A54" s="45" t="s">
        <v>231</v>
      </c>
      <c r="B54" s="45"/>
    </row>
    <row r="55" spans="1:2" ht="14.25">
      <c r="A55" s="47" t="s">
        <v>132</v>
      </c>
      <c r="B55" s="48"/>
    </row>
    <row r="56" spans="1:5" ht="13.5">
      <c r="A56" s="49" t="s">
        <v>0</v>
      </c>
      <c r="B56" s="49" t="s">
        <v>122</v>
      </c>
      <c r="C56" s="49" t="s">
        <v>123</v>
      </c>
      <c r="D56" s="49" t="s">
        <v>7</v>
      </c>
      <c r="E56" s="49" t="s">
        <v>124</v>
      </c>
    </row>
    <row r="57" spans="1:5" ht="12.75">
      <c r="A57" s="46" t="s">
        <v>487</v>
      </c>
      <c r="B57" s="34" t="s">
        <v>132</v>
      </c>
      <c r="C57" s="34" t="s">
        <v>566</v>
      </c>
      <c r="D57" s="34" t="s">
        <v>22</v>
      </c>
      <c r="E57" s="50" t="s">
        <v>567</v>
      </c>
    </row>
    <row r="60" spans="1:2" ht="15">
      <c r="A60" s="45" t="s">
        <v>120</v>
      </c>
      <c r="B60" s="45"/>
    </row>
    <row r="61" spans="1:2" ht="14.25">
      <c r="A61" s="47" t="s">
        <v>121</v>
      </c>
      <c r="B61" s="48"/>
    </row>
    <row r="62" spans="1:5" ht="13.5">
      <c r="A62" s="49" t="s">
        <v>0</v>
      </c>
      <c r="B62" s="49" t="s">
        <v>122</v>
      </c>
      <c r="C62" s="49" t="s">
        <v>123</v>
      </c>
      <c r="D62" s="49" t="s">
        <v>7</v>
      </c>
      <c r="E62" s="49" t="s">
        <v>124</v>
      </c>
    </row>
    <row r="63" spans="1:5" ht="12.75">
      <c r="A63" s="46" t="s">
        <v>497</v>
      </c>
      <c r="B63" s="34" t="s">
        <v>125</v>
      </c>
      <c r="C63" s="34" t="s">
        <v>232</v>
      </c>
      <c r="D63" s="34" t="s">
        <v>568</v>
      </c>
      <c r="E63" s="50" t="s">
        <v>569</v>
      </c>
    </row>
    <row r="64" spans="1:5" ht="12.75">
      <c r="A64" s="46" t="s">
        <v>501</v>
      </c>
      <c r="B64" s="34" t="s">
        <v>125</v>
      </c>
      <c r="C64" s="34" t="s">
        <v>235</v>
      </c>
      <c r="D64" s="34" t="s">
        <v>570</v>
      </c>
      <c r="E64" s="50" t="s">
        <v>571</v>
      </c>
    </row>
    <row r="65" spans="1:5" ht="12.75">
      <c r="A65" s="46" t="s">
        <v>493</v>
      </c>
      <c r="B65" s="34" t="s">
        <v>125</v>
      </c>
      <c r="C65" s="34" t="s">
        <v>129</v>
      </c>
      <c r="D65" s="34" t="s">
        <v>572</v>
      </c>
      <c r="E65" s="50" t="s">
        <v>573</v>
      </c>
    </row>
    <row r="66" spans="1:5" ht="12.75">
      <c r="A66" s="46" t="s">
        <v>506</v>
      </c>
      <c r="B66" s="34" t="s">
        <v>125</v>
      </c>
      <c r="C66" s="34" t="s">
        <v>235</v>
      </c>
      <c r="D66" s="34" t="s">
        <v>574</v>
      </c>
      <c r="E66" s="50" t="s">
        <v>575</v>
      </c>
    </row>
    <row r="68" spans="1:2" ht="14.25">
      <c r="A68" s="47" t="s">
        <v>132</v>
      </c>
      <c r="B68" s="48"/>
    </row>
    <row r="69" spans="1:5" ht="13.5">
      <c r="A69" s="49" t="s">
        <v>0</v>
      </c>
      <c r="B69" s="49" t="s">
        <v>122</v>
      </c>
      <c r="C69" s="49" t="s">
        <v>123</v>
      </c>
      <c r="D69" s="49" t="s">
        <v>7</v>
      </c>
      <c r="E69" s="49" t="s">
        <v>124</v>
      </c>
    </row>
    <row r="70" spans="1:5" ht="12.75">
      <c r="A70" s="46" t="s">
        <v>559</v>
      </c>
      <c r="B70" s="34" t="s">
        <v>132</v>
      </c>
      <c r="C70" s="34" t="s">
        <v>142</v>
      </c>
      <c r="D70" s="34" t="s">
        <v>576</v>
      </c>
      <c r="E70" s="50" t="s">
        <v>577</v>
      </c>
    </row>
    <row r="71" spans="1:5" ht="12.75">
      <c r="A71" s="46" t="s">
        <v>539</v>
      </c>
      <c r="B71" s="34" t="s">
        <v>132</v>
      </c>
      <c r="C71" s="34" t="s">
        <v>149</v>
      </c>
      <c r="D71" s="34" t="s">
        <v>578</v>
      </c>
      <c r="E71" s="50" t="s">
        <v>579</v>
      </c>
    </row>
    <row r="72" spans="1:5" ht="12.75">
      <c r="A72" s="46" t="s">
        <v>508</v>
      </c>
      <c r="B72" s="34" t="s">
        <v>132</v>
      </c>
      <c r="C72" s="34" t="s">
        <v>235</v>
      </c>
      <c r="D72" s="34" t="s">
        <v>580</v>
      </c>
      <c r="E72" s="50" t="s">
        <v>581</v>
      </c>
    </row>
    <row r="73" spans="1:5" ht="12.75">
      <c r="A73" s="46" t="s">
        <v>520</v>
      </c>
      <c r="B73" s="34" t="s">
        <v>132</v>
      </c>
      <c r="C73" s="34" t="s">
        <v>126</v>
      </c>
      <c r="D73" s="34" t="s">
        <v>582</v>
      </c>
      <c r="E73" s="50" t="s">
        <v>583</v>
      </c>
    </row>
    <row r="74" spans="1:5" ht="12.75">
      <c r="A74" s="46" t="s">
        <v>525</v>
      </c>
      <c r="B74" s="34" t="s">
        <v>132</v>
      </c>
      <c r="C74" s="34" t="s">
        <v>126</v>
      </c>
      <c r="D74" s="34" t="s">
        <v>584</v>
      </c>
      <c r="E74" s="50" t="s">
        <v>585</v>
      </c>
    </row>
    <row r="75" spans="1:5" ht="12.75">
      <c r="A75" s="46" t="s">
        <v>542</v>
      </c>
      <c r="B75" s="34" t="s">
        <v>132</v>
      </c>
      <c r="C75" s="34" t="s">
        <v>149</v>
      </c>
      <c r="D75" s="34" t="s">
        <v>147</v>
      </c>
      <c r="E75" s="50" t="s">
        <v>586</v>
      </c>
    </row>
    <row r="76" spans="1:5" ht="12.75">
      <c r="A76" s="46" t="s">
        <v>527</v>
      </c>
      <c r="B76" s="34" t="s">
        <v>132</v>
      </c>
      <c r="C76" s="34" t="s">
        <v>126</v>
      </c>
      <c r="D76" s="34" t="s">
        <v>568</v>
      </c>
      <c r="E76" s="50" t="s">
        <v>587</v>
      </c>
    </row>
    <row r="77" spans="1:5" ht="12.75">
      <c r="A77" s="46" t="s">
        <v>556</v>
      </c>
      <c r="B77" s="34" t="s">
        <v>132</v>
      </c>
      <c r="C77" s="34" t="s">
        <v>133</v>
      </c>
      <c r="D77" s="34" t="s">
        <v>588</v>
      </c>
      <c r="E77" s="50" t="s">
        <v>589</v>
      </c>
    </row>
    <row r="78" spans="1:5" ht="12.75">
      <c r="A78" s="46" t="s">
        <v>513</v>
      </c>
      <c r="B78" s="34" t="s">
        <v>132</v>
      </c>
      <c r="C78" s="34" t="s">
        <v>139</v>
      </c>
      <c r="D78" s="34" t="s">
        <v>590</v>
      </c>
      <c r="E78" s="50" t="s">
        <v>591</v>
      </c>
    </row>
    <row r="80" spans="1:2" ht="14.25">
      <c r="A80" s="47" t="s">
        <v>152</v>
      </c>
      <c r="B80" s="48"/>
    </row>
    <row r="81" spans="1:5" ht="13.5">
      <c r="A81" s="49" t="s">
        <v>0</v>
      </c>
      <c r="B81" s="49" t="s">
        <v>122</v>
      </c>
      <c r="C81" s="49" t="s">
        <v>123</v>
      </c>
      <c r="D81" s="49" t="s">
        <v>7</v>
      </c>
      <c r="E81" s="49" t="s">
        <v>124</v>
      </c>
    </row>
    <row r="82" spans="1:5" ht="12.75">
      <c r="A82" s="46" t="s">
        <v>563</v>
      </c>
      <c r="B82" s="34" t="s">
        <v>155</v>
      </c>
      <c r="C82" s="34" t="s">
        <v>142</v>
      </c>
      <c r="D82" s="34" t="s">
        <v>592</v>
      </c>
      <c r="E82" s="50" t="s">
        <v>593</v>
      </c>
    </row>
    <row r="83" spans="1:5" ht="12.75">
      <c r="A83" s="46" t="s">
        <v>548</v>
      </c>
      <c r="B83" s="34" t="s">
        <v>155</v>
      </c>
      <c r="C83" s="34" t="s">
        <v>149</v>
      </c>
      <c r="D83" s="34" t="s">
        <v>594</v>
      </c>
      <c r="E83" s="50" t="s">
        <v>595</v>
      </c>
    </row>
    <row r="84" spans="1:5" ht="12.75">
      <c r="A84" s="46" t="s">
        <v>537</v>
      </c>
      <c r="B84" s="34" t="s">
        <v>155</v>
      </c>
      <c r="C84" s="34" t="s">
        <v>126</v>
      </c>
      <c r="D84" s="34" t="s">
        <v>596</v>
      </c>
      <c r="E84" s="50" t="s">
        <v>597</v>
      </c>
    </row>
    <row r="85" spans="1:5" ht="12.75">
      <c r="A85" s="46" t="s">
        <v>552</v>
      </c>
      <c r="B85" s="34" t="s">
        <v>598</v>
      </c>
      <c r="C85" s="34" t="s">
        <v>149</v>
      </c>
      <c r="D85" s="34" t="s">
        <v>599</v>
      </c>
      <c r="E85" s="50" t="s">
        <v>600</v>
      </c>
    </row>
    <row r="86" spans="1:5" ht="12.75">
      <c r="A86" s="46" t="s">
        <v>545</v>
      </c>
      <c r="B86" s="34" t="s">
        <v>153</v>
      </c>
      <c r="C86" s="34" t="s">
        <v>149</v>
      </c>
      <c r="D86" s="34" t="s">
        <v>601</v>
      </c>
      <c r="E86" s="50" t="s">
        <v>602</v>
      </c>
    </row>
    <row r="87" spans="1:5" ht="12.75">
      <c r="A87" s="46" t="s">
        <v>517</v>
      </c>
      <c r="B87" s="34" t="s">
        <v>155</v>
      </c>
      <c r="C87" s="34" t="s">
        <v>139</v>
      </c>
      <c r="D87" s="34" t="s">
        <v>603</v>
      </c>
      <c r="E87" s="50" t="s">
        <v>604</v>
      </c>
    </row>
  </sheetData>
  <sheetProtection/>
  <mergeCells count="22">
    <mergeCell ref="A14:T14"/>
    <mergeCell ref="A20:T20"/>
    <mergeCell ref="A24:T24"/>
    <mergeCell ref="A31:T31"/>
    <mergeCell ref="A38:T38"/>
    <mergeCell ref="A41:T41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1">
      <selection activeCell="O24" sqref="O24:Q24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20.625" style="34" bestFit="1" customWidth="1"/>
    <col min="6" max="6" width="32.00390625" style="34" bestFit="1" customWidth="1"/>
    <col min="7" max="9" width="5.50390625" style="34" bestFit="1" customWidth="1"/>
    <col min="10" max="10" width="4.875" style="34" bestFit="1" customWidth="1"/>
    <col min="11" max="13" width="5.50390625" style="34" bestFit="1" customWidth="1"/>
    <col min="14" max="14" width="4.875" style="34" bestFit="1" customWidth="1"/>
    <col min="15" max="17" width="5.50390625" style="34" bestFit="1" customWidth="1"/>
    <col min="18" max="18" width="4.875" style="34" bestFit="1" customWidth="1"/>
    <col min="19" max="19" width="6.625" style="34" bestFit="1" customWidth="1"/>
    <col min="20" max="20" width="8.50390625" style="34" bestFit="1" customWidth="1"/>
    <col min="21" max="21" width="11.625" style="34" bestFit="1" customWidth="1"/>
  </cols>
  <sheetData>
    <row r="1" spans="1:21" s="1" customFormat="1" ht="46.5" customHeight="1">
      <c r="A1" s="55" t="s">
        <v>1300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1" customFormat="1" ht="58.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7" customFormat="1" ht="46.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4</v>
      </c>
      <c r="H3" s="65"/>
      <c r="I3" s="65"/>
      <c r="J3" s="51"/>
      <c r="K3" s="61" t="s">
        <v>5</v>
      </c>
      <c r="L3" s="65"/>
      <c r="M3" s="65"/>
      <c r="N3" s="51"/>
      <c r="O3" s="61" t="s">
        <v>6</v>
      </c>
      <c r="P3" s="65"/>
      <c r="Q3" s="65"/>
      <c r="R3" s="51"/>
      <c r="S3" s="66" t="s">
        <v>7</v>
      </c>
      <c r="T3" s="65" t="s">
        <v>9</v>
      </c>
      <c r="U3" s="51" t="s">
        <v>8</v>
      </c>
    </row>
    <row r="4" spans="1:21" s="7" customFormat="1" ht="46.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67"/>
      <c r="T4" s="64"/>
      <c r="U4" s="52"/>
    </row>
    <row r="5" spans="1:20" ht="15">
      <c r="A5" s="53" t="s">
        <v>272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 ht="12.75">
      <c r="A6" s="39" t="s">
        <v>273</v>
      </c>
      <c r="B6" s="39" t="s">
        <v>274</v>
      </c>
      <c r="C6" s="39" t="s">
        <v>275</v>
      </c>
      <c r="D6" s="39" t="str">
        <f>"1,2851"</f>
        <v>1,2851</v>
      </c>
      <c r="E6" s="39" t="s">
        <v>276</v>
      </c>
      <c r="F6" s="39" t="s">
        <v>277</v>
      </c>
      <c r="G6" s="39" t="s">
        <v>283</v>
      </c>
      <c r="H6" s="39" t="s">
        <v>181</v>
      </c>
      <c r="I6" s="40" t="s">
        <v>278</v>
      </c>
      <c r="J6" s="40"/>
      <c r="K6" s="39" t="s">
        <v>279</v>
      </c>
      <c r="L6" s="39" t="s">
        <v>280</v>
      </c>
      <c r="M6" s="39" t="s">
        <v>281</v>
      </c>
      <c r="N6" s="39" t="s">
        <v>282</v>
      </c>
      <c r="O6" s="39" t="s">
        <v>283</v>
      </c>
      <c r="P6" s="39" t="s">
        <v>181</v>
      </c>
      <c r="Q6" s="39" t="s">
        <v>278</v>
      </c>
      <c r="R6" s="40"/>
      <c r="S6" s="39">
        <v>162.5</v>
      </c>
      <c r="T6" s="39" t="str">
        <f>"208,8287"</f>
        <v>208,8287</v>
      </c>
      <c r="U6" s="39"/>
    </row>
    <row r="7" spans="1:21" ht="12.75">
      <c r="A7" s="41" t="s">
        <v>273</v>
      </c>
      <c r="B7" s="41" t="s">
        <v>284</v>
      </c>
      <c r="C7" s="41" t="s">
        <v>275</v>
      </c>
      <c r="D7" s="41" t="str">
        <f>"1,3108"</f>
        <v>1,3108</v>
      </c>
      <c r="E7" s="41" t="s">
        <v>276</v>
      </c>
      <c r="F7" s="41" t="s">
        <v>277</v>
      </c>
      <c r="G7" s="41" t="s">
        <v>283</v>
      </c>
      <c r="H7" s="41" t="s">
        <v>181</v>
      </c>
      <c r="I7" s="42" t="s">
        <v>278</v>
      </c>
      <c r="J7" s="42"/>
      <c r="K7" s="41" t="s">
        <v>279</v>
      </c>
      <c r="L7" s="41" t="s">
        <v>280</v>
      </c>
      <c r="M7" s="41" t="s">
        <v>281</v>
      </c>
      <c r="N7" s="41" t="s">
        <v>282</v>
      </c>
      <c r="O7" s="41" t="s">
        <v>283</v>
      </c>
      <c r="P7" s="41" t="s">
        <v>181</v>
      </c>
      <c r="Q7" s="41" t="s">
        <v>278</v>
      </c>
      <c r="R7" s="42"/>
      <c r="S7" s="41">
        <v>162.5</v>
      </c>
      <c r="T7" s="41" t="str">
        <f>"213,0053"</f>
        <v>213,0053</v>
      </c>
      <c r="U7" s="41"/>
    </row>
    <row r="9" spans="1:20" ht="15">
      <c r="A9" s="54" t="s">
        <v>486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1" ht="12.75">
      <c r="A10" s="39" t="s">
        <v>1175</v>
      </c>
      <c r="B10" s="39" t="s">
        <v>1176</v>
      </c>
      <c r="C10" s="39" t="s">
        <v>298</v>
      </c>
      <c r="D10" s="39" t="str">
        <f>"1,2457"</f>
        <v>1,2457</v>
      </c>
      <c r="E10" s="39" t="s">
        <v>17</v>
      </c>
      <c r="F10" s="39" t="s">
        <v>101</v>
      </c>
      <c r="G10" s="40" t="s">
        <v>23</v>
      </c>
      <c r="H10" s="39" t="s">
        <v>23</v>
      </c>
      <c r="I10" s="39" t="s">
        <v>164</v>
      </c>
      <c r="J10" s="40"/>
      <c r="K10" s="39" t="s">
        <v>304</v>
      </c>
      <c r="L10" s="39" t="s">
        <v>283</v>
      </c>
      <c r="M10" s="39" t="s">
        <v>619</v>
      </c>
      <c r="N10" s="40"/>
      <c r="O10" s="39" t="s">
        <v>87</v>
      </c>
      <c r="P10" s="39" t="s">
        <v>174</v>
      </c>
      <c r="Q10" s="40" t="s">
        <v>68</v>
      </c>
      <c r="R10" s="40"/>
      <c r="S10" s="39">
        <v>277.5</v>
      </c>
      <c r="T10" s="39" t="str">
        <f>"345,6818"</f>
        <v>345,6818</v>
      </c>
      <c r="U10" s="39"/>
    </row>
    <row r="11" spans="1:21" ht="12.75">
      <c r="A11" s="43" t="s">
        <v>1177</v>
      </c>
      <c r="B11" s="43" t="s">
        <v>1178</v>
      </c>
      <c r="C11" s="43" t="s">
        <v>1179</v>
      </c>
      <c r="D11" s="43" t="str">
        <f>"1,1961"</f>
        <v>1,1961</v>
      </c>
      <c r="E11" s="43" t="s">
        <v>17</v>
      </c>
      <c r="F11" s="43" t="s">
        <v>101</v>
      </c>
      <c r="G11" s="43" t="s">
        <v>24</v>
      </c>
      <c r="H11" s="44" t="s">
        <v>67</v>
      </c>
      <c r="I11" s="44" t="s">
        <v>67</v>
      </c>
      <c r="J11" s="44"/>
      <c r="K11" s="43" t="s">
        <v>625</v>
      </c>
      <c r="L11" s="43" t="s">
        <v>165</v>
      </c>
      <c r="M11" s="43" t="s">
        <v>630</v>
      </c>
      <c r="N11" s="44"/>
      <c r="O11" s="43" t="s">
        <v>67</v>
      </c>
      <c r="P11" s="44" t="s">
        <v>174</v>
      </c>
      <c r="Q11" s="44" t="s">
        <v>174</v>
      </c>
      <c r="R11" s="44"/>
      <c r="S11" s="43">
        <v>262.5</v>
      </c>
      <c r="T11" s="43" t="str">
        <f>"313,9762"</f>
        <v>313,9762</v>
      </c>
      <c r="U11" s="43"/>
    </row>
    <row r="12" spans="1:21" ht="12.75">
      <c r="A12" s="41" t="s">
        <v>1175</v>
      </c>
      <c r="B12" s="41" t="s">
        <v>1180</v>
      </c>
      <c r="C12" s="41" t="s">
        <v>298</v>
      </c>
      <c r="D12" s="41" t="str">
        <f>"1,3142"</f>
        <v>1,3142</v>
      </c>
      <c r="E12" s="41" t="s">
        <v>17</v>
      </c>
      <c r="F12" s="41" t="s">
        <v>101</v>
      </c>
      <c r="G12" s="42" t="s">
        <v>23</v>
      </c>
      <c r="H12" s="41" t="s">
        <v>23</v>
      </c>
      <c r="I12" s="41" t="s">
        <v>164</v>
      </c>
      <c r="J12" s="42"/>
      <c r="K12" s="41" t="s">
        <v>304</v>
      </c>
      <c r="L12" s="41" t="s">
        <v>283</v>
      </c>
      <c r="M12" s="41" t="s">
        <v>619</v>
      </c>
      <c r="N12" s="42"/>
      <c r="O12" s="41" t="s">
        <v>87</v>
      </c>
      <c r="P12" s="41" t="s">
        <v>174</v>
      </c>
      <c r="Q12" s="42" t="s">
        <v>68</v>
      </c>
      <c r="R12" s="42"/>
      <c r="S12" s="41">
        <v>277.5</v>
      </c>
      <c r="T12" s="41" t="str">
        <f>"364,6943"</f>
        <v>364,6943</v>
      </c>
      <c r="U12" s="41"/>
    </row>
    <row r="14" spans="1:20" ht="15">
      <c r="A14" s="54" t="s">
        <v>158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1" ht="12.75">
      <c r="A15" s="37" t="s">
        <v>912</v>
      </c>
      <c r="B15" s="37" t="s">
        <v>913</v>
      </c>
      <c r="C15" s="37" t="s">
        <v>914</v>
      </c>
      <c r="D15" s="37" t="str">
        <f>"1,0653"</f>
        <v>1,0653</v>
      </c>
      <c r="E15" s="37" t="s">
        <v>17</v>
      </c>
      <c r="F15" s="37" t="s">
        <v>18</v>
      </c>
      <c r="G15" s="37" t="s">
        <v>68</v>
      </c>
      <c r="H15" s="38" t="s">
        <v>36</v>
      </c>
      <c r="I15" s="37" t="s">
        <v>36</v>
      </c>
      <c r="J15" s="38"/>
      <c r="K15" s="37" t="s">
        <v>166</v>
      </c>
      <c r="L15" s="38" t="s">
        <v>304</v>
      </c>
      <c r="M15" s="37" t="s">
        <v>304</v>
      </c>
      <c r="N15" s="38"/>
      <c r="O15" s="38" t="s">
        <v>36</v>
      </c>
      <c r="P15" s="37" t="s">
        <v>49</v>
      </c>
      <c r="Q15" s="38" t="s">
        <v>37</v>
      </c>
      <c r="R15" s="38"/>
      <c r="S15" s="37">
        <v>347.5</v>
      </c>
      <c r="T15" s="37" t="str">
        <f>"370,1917"</f>
        <v>370,1917</v>
      </c>
      <c r="U15" s="37"/>
    </row>
    <row r="17" spans="1:20" ht="15">
      <c r="A17" s="54" t="s">
        <v>191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1" ht="12.75">
      <c r="A18" s="37" t="s">
        <v>1181</v>
      </c>
      <c r="B18" s="37" t="s">
        <v>1182</v>
      </c>
      <c r="C18" s="37" t="s">
        <v>1183</v>
      </c>
      <c r="D18" s="37" t="str">
        <f>"0,8491"</f>
        <v>0,8491</v>
      </c>
      <c r="E18" s="37" t="s">
        <v>17</v>
      </c>
      <c r="F18" s="37" t="s">
        <v>101</v>
      </c>
      <c r="G18" s="37" t="s">
        <v>24</v>
      </c>
      <c r="H18" s="38" t="s">
        <v>26</v>
      </c>
      <c r="I18" s="38" t="s">
        <v>67</v>
      </c>
      <c r="J18" s="38"/>
      <c r="K18" s="37" t="s">
        <v>630</v>
      </c>
      <c r="L18" s="38" t="s">
        <v>304</v>
      </c>
      <c r="M18" s="38"/>
      <c r="N18" s="38"/>
      <c r="O18" s="37" t="s">
        <v>47</v>
      </c>
      <c r="P18" s="37" t="s">
        <v>36</v>
      </c>
      <c r="Q18" s="38" t="s">
        <v>317</v>
      </c>
      <c r="R18" s="38"/>
      <c r="S18" s="37">
        <v>292.5</v>
      </c>
      <c r="T18" s="37" t="str">
        <f>"248,3617"</f>
        <v>248,3617</v>
      </c>
      <c r="U18" s="37"/>
    </row>
    <row r="20" spans="1:20" ht="15">
      <c r="A20" s="54" t="s">
        <v>28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1" ht="12.75">
      <c r="A21" s="37" t="s">
        <v>1184</v>
      </c>
      <c r="B21" s="37" t="s">
        <v>1185</v>
      </c>
      <c r="C21" s="37" t="s">
        <v>1066</v>
      </c>
      <c r="D21" s="37" t="str">
        <f>"0,7901"</f>
        <v>0,7901</v>
      </c>
      <c r="E21" s="37" t="s">
        <v>17</v>
      </c>
      <c r="F21" s="37" t="s">
        <v>101</v>
      </c>
      <c r="G21" s="38" t="s">
        <v>24</v>
      </c>
      <c r="H21" s="37" t="s">
        <v>26</v>
      </c>
      <c r="I21" s="38" t="s">
        <v>67</v>
      </c>
      <c r="J21" s="38"/>
      <c r="K21" s="37" t="s">
        <v>165</v>
      </c>
      <c r="L21" s="38" t="s">
        <v>630</v>
      </c>
      <c r="M21" s="38" t="s">
        <v>630</v>
      </c>
      <c r="N21" s="38"/>
      <c r="O21" s="37" t="s">
        <v>87</v>
      </c>
      <c r="P21" s="37" t="s">
        <v>174</v>
      </c>
      <c r="Q21" s="38" t="s">
        <v>68</v>
      </c>
      <c r="R21" s="38"/>
      <c r="S21" s="37">
        <v>275</v>
      </c>
      <c r="T21" s="37" t="str">
        <f>"217,2638"</f>
        <v>217,2638</v>
      </c>
      <c r="U21" s="37"/>
    </row>
    <row r="23" spans="1:20" ht="15">
      <c r="A23" s="54" t="s">
        <v>52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1" ht="12.75">
      <c r="A24" s="37" t="s">
        <v>921</v>
      </c>
      <c r="B24" s="37" t="s">
        <v>922</v>
      </c>
      <c r="C24" s="37" t="s">
        <v>923</v>
      </c>
      <c r="D24" s="37" t="str">
        <f>"0,7692"</f>
        <v>0,7692</v>
      </c>
      <c r="E24" s="37" t="s">
        <v>17</v>
      </c>
      <c r="F24" s="37" t="s">
        <v>18</v>
      </c>
      <c r="G24" s="37" t="s">
        <v>26</v>
      </c>
      <c r="H24" s="37" t="s">
        <v>87</v>
      </c>
      <c r="I24" s="38" t="s">
        <v>68</v>
      </c>
      <c r="J24" s="38"/>
      <c r="K24" s="37" t="s">
        <v>283</v>
      </c>
      <c r="L24" s="38" t="s">
        <v>278</v>
      </c>
      <c r="M24" s="38" t="s">
        <v>278</v>
      </c>
      <c r="N24" s="38"/>
      <c r="O24" s="37" t="s">
        <v>47</v>
      </c>
      <c r="P24" s="37" t="s">
        <v>36</v>
      </c>
      <c r="Q24" s="37" t="s">
        <v>317</v>
      </c>
      <c r="R24" s="38"/>
      <c r="S24" s="37">
        <v>320</v>
      </c>
      <c r="T24" s="37" t="str">
        <f>"246,1600"</f>
        <v>246,1600</v>
      </c>
      <c r="U24" s="37"/>
    </row>
    <row r="26" spans="1:20" ht="15">
      <c r="A26" s="54" t="s">
        <v>13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1:21" ht="12.75">
      <c r="A27" s="37" t="s">
        <v>1186</v>
      </c>
      <c r="B27" s="37" t="s">
        <v>1187</v>
      </c>
      <c r="C27" s="37" t="s">
        <v>628</v>
      </c>
      <c r="D27" s="37" t="str">
        <f>"0,8523"</f>
        <v>0,8523</v>
      </c>
      <c r="E27" s="37" t="s">
        <v>17</v>
      </c>
      <c r="F27" s="37" t="s">
        <v>101</v>
      </c>
      <c r="G27" s="37" t="s">
        <v>300</v>
      </c>
      <c r="H27" s="37" t="s">
        <v>189</v>
      </c>
      <c r="I27" s="37" t="s">
        <v>165</v>
      </c>
      <c r="J27" s="38"/>
      <c r="K27" s="37" t="s">
        <v>282</v>
      </c>
      <c r="L27" s="37" t="s">
        <v>634</v>
      </c>
      <c r="M27" s="38" t="s">
        <v>300</v>
      </c>
      <c r="N27" s="38"/>
      <c r="O27" s="37" t="s">
        <v>283</v>
      </c>
      <c r="P27" s="37" t="s">
        <v>181</v>
      </c>
      <c r="Q27" s="37" t="s">
        <v>289</v>
      </c>
      <c r="R27" s="38"/>
      <c r="S27" s="37">
        <v>157.5</v>
      </c>
      <c r="T27" s="37" t="str">
        <f>"134,2451"</f>
        <v>134,2451</v>
      </c>
      <c r="U27" s="37" t="s">
        <v>1188</v>
      </c>
    </row>
    <row r="29" spans="1:20" ht="15">
      <c r="A29" s="54" t="s">
        <v>191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1" ht="12.75">
      <c r="A30" s="37" t="s">
        <v>508</v>
      </c>
      <c r="B30" s="37" t="s">
        <v>509</v>
      </c>
      <c r="C30" s="37" t="s">
        <v>510</v>
      </c>
      <c r="D30" s="37" t="str">
        <f>"0,6955"</f>
        <v>0,6955</v>
      </c>
      <c r="E30" s="37" t="s">
        <v>17</v>
      </c>
      <c r="F30" s="37" t="s">
        <v>18</v>
      </c>
      <c r="G30" s="37" t="s">
        <v>39</v>
      </c>
      <c r="H30" s="37" t="s">
        <v>51</v>
      </c>
      <c r="I30" s="38" t="s">
        <v>221</v>
      </c>
      <c r="J30" s="38"/>
      <c r="K30" s="37" t="s">
        <v>47</v>
      </c>
      <c r="L30" s="38" t="s">
        <v>69</v>
      </c>
      <c r="M30" s="38"/>
      <c r="N30" s="38"/>
      <c r="O30" s="37" t="s">
        <v>39</v>
      </c>
      <c r="P30" s="37" t="s">
        <v>71</v>
      </c>
      <c r="Q30" s="38" t="s">
        <v>221</v>
      </c>
      <c r="R30" s="38"/>
      <c r="S30" s="37">
        <v>585</v>
      </c>
      <c r="T30" s="37" t="str">
        <f>"406,8383"</f>
        <v>406,8383</v>
      </c>
      <c r="U30" s="37"/>
    </row>
    <row r="32" spans="1:20" ht="15">
      <c r="A32" s="54" t="s">
        <v>52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1" ht="12.75">
      <c r="A33" s="39" t="s">
        <v>1189</v>
      </c>
      <c r="B33" s="39" t="s">
        <v>1190</v>
      </c>
      <c r="C33" s="39" t="s">
        <v>1191</v>
      </c>
      <c r="D33" s="39" t="str">
        <f>"0,6226"</f>
        <v>0,6226</v>
      </c>
      <c r="E33" s="39" t="s">
        <v>276</v>
      </c>
      <c r="F33" s="39" t="s">
        <v>277</v>
      </c>
      <c r="G33" s="39" t="s">
        <v>39</v>
      </c>
      <c r="H33" s="39" t="s">
        <v>71</v>
      </c>
      <c r="I33" s="40" t="s">
        <v>35</v>
      </c>
      <c r="J33" s="40"/>
      <c r="K33" s="39" t="s">
        <v>87</v>
      </c>
      <c r="L33" s="40" t="s">
        <v>68</v>
      </c>
      <c r="M33" s="40" t="s">
        <v>68</v>
      </c>
      <c r="N33" s="40"/>
      <c r="O33" s="39" t="s">
        <v>33</v>
      </c>
      <c r="P33" s="39" t="s">
        <v>221</v>
      </c>
      <c r="Q33" s="40" t="s">
        <v>35</v>
      </c>
      <c r="R33" s="40"/>
      <c r="S33" s="39">
        <v>585</v>
      </c>
      <c r="T33" s="39" t="str">
        <f>"364,2210"</f>
        <v>364,2210</v>
      </c>
      <c r="U33" s="39"/>
    </row>
    <row r="34" spans="1:21" ht="12.75">
      <c r="A34" s="41" t="s">
        <v>1192</v>
      </c>
      <c r="B34" s="41" t="s">
        <v>1193</v>
      </c>
      <c r="C34" s="41" t="s">
        <v>1194</v>
      </c>
      <c r="D34" s="41" t="str">
        <f>"0,6255"</f>
        <v>0,6255</v>
      </c>
      <c r="E34" s="41" t="s">
        <v>17</v>
      </c>
      <c r="F34" s="41" t="s">
        <v>101</v>
      </c>
      <c r="G34" s="41" t="s">
        <v>27</v>
      </c>
      <c r="H34" s="42" t="s">
        <v>70</v>
      </c>
      <c r="I34" s="42" t="s">
        <v>70</v>
      </c>
      <c r="J34" s="42"/>
      <c r="K34" s="42" t="s">
        <v>87</v>
      </c>
      <c r="L34" s="41" t="s">
        <v>87</v>
      </c>
      <c r="M34" s="42" t="s">
        <v>174</v>
      </c>
      <c r="N34" s="42"/>
      <c r="O34" s="41" t="s">
        <v>27</v>
      </c>
      <c r="P34" s="41" t="s">
        <v>22</v>
      </c>
      <c r="Q34" s="41" t="s">
        <v>264</v>
      </c>
      <c r="R34" s="42"/>
      <c r="S34" s="41">
        <v>515</v>
      </c>
      <c r="T34" s="41" t="str">
        <f>"322,1325"</f>
        <v>322,1325</v>
      </c>
      <c r="U34" s="41"/>
    </row>
    <row r="36" spans="1:20" ht="15">
      <c r="A36" s="54" t="s">
        <v>76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1" ht="12.75">
      <c r="A37" s="39" t="s">
        <v>1195</v>
      </c>
      <c r="B37" s="39" t="s">
        <v>1196</v>
      </c>
      <c r="C37" s="39" t="s">
        <v>554</v>
      </c>
      <c r="D37" s="39" t="str">
        <f>"0,5925"</f>
        <v>0,5925</v>
      </c>
      <c r="E37" s="39" t="s">
        <v>276</v>
      </c>
      <c r="F37" s="39" t="s">
        <v>18</v>
      </c>
      <c r="G37" s="40" t="s">
        <v>70</v>
      </c>
      <c r="H37" s="39" t="s">
        <v>70</v>
      </c>
      <c r="I37" s="40" t="s">
        <v>51</v>
      </c>
      <c r="J37" s="40"/>
      <c r="K37" s="39" t="s">
        <v>24</v>
      </c>
      <c r="L37" s="39" t="s">
        <v>67</v>
      </c>
      <c r="M37" s="40" t="s">
        <v>87</v>
      </c>
      <c r="N37" s="40"/>
      <c r="O37" s="39" t="s">
        <v>70</v>
      </c>
      <c r="P37" s="39" t="s">
        <v>71</v>
      </c>
      <c r="Q37" s="40" t="s">
        <v>35</v>
      </c>
      <c r="R37" s="40"/>
      <c r="S37" s="39">
        <v>550</v>
      </c>
      <c r="T37" s="39" t="str">
        <f>"325,9025"</f>
        <v>325,9025</v>
      </c>
      <c r="U37" s="39"/>
    </row>
    <row r="38" spans="1:21" ht="12.75">
      <c r="A38" s="41" t="s">
        <v>1197</v>
      </c>
      <c r="B38" s="41" t="s">
        <v>1198</v>
      </c>
      <c r="C38" s="41" t="s">
        <v>351</v>
      </c>
      <c r="D38" s="41" t="str">
        <f>"0,5848"</f>
        <v>0,5848</v>
      </c>
      <c r="E38" s="41" t="s">
        <v>276</v>
      </c>
      <c r="F38" s="41" t="s">
        <v>18</v>
      </c>
      <c r="G38" s="41" t="s">
        <v>19</v>
      </c>
      <c r="H38" s="42" t="s">
        <v>20</v>
      </c>
      <c r="I38" s="41" t="s">
        <v>20</v>
      </c>
      <c r="J38" s="42"/>
      <c r="K38" s="41" t="s">
        <v>24</v>
      </c>
      <c r="L38" s="41" t="s">
        <v>167</v>
      </c>
      <c r="M38" s="42" t="s">
        <v>87</v>
      </c>
      <c r="N38" s="42"/>
      <c r="O38" s="41" t="s">
        <v>70</v>
      </c>
      <c r="P38" s="41" t="s">
        <v>71</v>
      </c>
      <c r="Q38" s="42" t="s">
        <v>221</v>
      </c>
      <c r="R38" s="42"/>
      <c r="S38" s="41">
        <v>517.5</v>
      </c>
      <c r="T38" s="41" t="str">
        <f>"302,6340"</f>
        <v>302,6340</v>
      </c>
      <c r="U38" s="41"/>
    </row>
    <row r="40" spans="1:20" ht="15">
      <c r="A40" s="54" t="s">
        <v>88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1" ht="12.75">
      <c r="A41" s="37" t="s">
        <v>1199</v>
      </c>
      <c r="B41" s="37" t="s">
        <v>1200</v>
      </c>
      <c r="C41" s="37" t="s">
        <v>386</v>
      </c>
      <c r="D41" s="37" t="str">
        <f>"0,5659"</f>
        <v>0,5659</v>
      </c>
      <c r="E41" s="37" t="s">
        <v>17</v>
      </c>
      <c r="F41" s="37" t="s">
        <v>101</v>
      </c>
      <c r="G41" s="37" t="s">
        <v>51</v>
      </c>
      <c r="H41" s="37" t="s">
        <v>34</v>
      </c>
      <c r="I41" s="37" t="s">
        <v>35</v>
      </c>
      <c r="J41" s="38"/>
      <c r="K41" s="37" t="s">
        <v>68</v>
      </c>
      <c r="L41" s="37" t="s">
        <v>175</v>
      </c>
      <c r="M41" s="37" t="s">
        <v>36</v>
      </c>
      <c r="N41" s="38"/>
      <c r="O41" s="37" t="s">
        <v>51</v>
      </c>
      <c r="P41" s="38" t="s">
        <v>34</v>
      </c>
      <c r="Q41" s="37" t="s">
        <v>34</v>
      </c>
      <c r="R41" s="38"/>
      <c r="S41" s="37">
        <v>620</v>
      </c>
      <c r="T41" s="37" t="str">
        <f>"350,8890"</f>
        <v>350,8890</v>
      </c>
      <c r="U41" s="37"/>
    </row>
    <row r="43" spans="1:20" ht="15">
      <c r="A43" s="54" t="s">
        <v>97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1" ht="12.75">
      <c r="A44" s="39" t="s">
        <v>1201</v>
      </c>
      <c r="B44" s="39" t="s">
        <v>1202</v>
      </c>
      <c r="C44" s="39" t="s">
        <v>1203</v>
      </c>
      <c r="D44" s="39" t="str">
        <f>"0,5609"</f>
        <v>0,5609</v>
      </c>
      <c r="E44" s="39" t="s">
        <v>17</v>
      </c>
      <c r="F44" s="39" t="s">
        <v>101</v>
      </c>
      <c r="G44" s="39" t="s">
        <v>71</v>
      </c>
      <c r="H44" s="39" t="s">
        <v>221</v>
      </c>
      <c r="I44" s="39" t="s">
        <v>56</v>
      </c>
      <c r="J44" s="40"/>
      <c r="K44" s="39" t="s">
        <v>222</v>
      </c>
      <c r="L44" s="40" t="s">
        <v>197</v>
      </c>
      <c r="M44" s="40" t="s">
        <v>197</v>
      </c>
      <c r="N44" s="40"/>
      <c r="O44" s="39" t="s">
        <v>95</v>
      </c>
      <c r="P44" s="39" t="s">
        <v>93</v>
      </c>
      <c r="Q44" s="40" t="s">
        <v>59</v>
      </c>
      <c r="R44" s="40"/>
      <c r="S44" s="39">
        <v>695</v>
      </c>
      <c r="T44" s="39" t="str">
        <f>"389,7908"</f>
        <v>389,7908</v>
      </c>
      <c r="U44" s="39" t="s">
        <v>1204</v>
      </c>
    </row>
    <row r="45" spans="1:21" ht="12.75">
      <c r="A45" s="41" t="s">
        <v>1205</v>
      </c>
      <c r="B45" s="41" t="s">
        <v>1206</v>
      </c>
      <c r="C45" s="41" t="s">
        <v>1207</v>
      </c>
      <c r="D45" s="41" t="str">
        <f>"0,5493"</f>
        <v>0,5493</v>
      </c>
      <c r="E45" s="41" t="s">
        <v>44</v>
      </c>
      <c r="F45" s="41" t="s">
        <v>45</v>
      </c>
      <c r="G45" s="41" t="s">
        <v>33</v>
      </c>
      <c r="H45" s="42" t="s">
        <v>221</v>
      </c>
      <c r="I45" s="42" t="s">
        <v>221</v>
      </c>
      <c r="J45" s="42"/>
      <c r="K45" s="42" t="s">
        <v>36</v>
      </c>
      <c r="L45" s="41" t="s">
        <v>49</v>
      </c>
      <c r="M45" s="42" t="s">
        <v>19</v>
      </c>
      <c r="N45" s="42"/>
      <c r="O45" s="41" t="s">
        <v>33</v>
      </c>
      <c r="P45" s="41" t="s">
        <v>71</v>
      </c>
      <c r="Q45" s="41" t="s">
        <v>34</v>
      </c>
      <c r="R45" s="42"/>
      <c r="S45" s="41">
        <v>605</v>
      </c>
      <c r="T45" s="41" t="str">
        <f>"332,3265"</f>
        <v>332,3265</v>
      </c>
      <c r="U45" s="41"/>
    </row>
    <row r="47" ht="15">
      <c r="E47" s="35" t="s">
        <v>113</v>
      </c>
    </row>
    <row r="48" ht="15">
      <c r="E48" s="35" t="s">
        <v>114</v>
      </c>
    </row>
    <row r="49" ht="15">
      <c r="E49" s="35" t="s">
        <v>115</v>
      </c>
    </row>
    <row r="50" ht="12.75">
      <c r="E50" s="34" t="s">
        <v>116</v>
      </c>
    </row>
    <row r="51" ht="12.75">
      <c r="E51" s="34" t="s">
        <v>117</v>
      </c>
    </row>
    <row r="52" ht="12.75">
      <c r="E52" s="34" t="s">
        <v>118</v>
      </c>
    </row>
    <row r="55" spans="1:2" ht="17.25">
      <c r="A55" s="36" t="s">
        <v>119</v>
      </c>
      <c r="B55" s="36"/>
    </row>
    <row r="56" spans="1:2" ht="15">
      <c r="A56" s="45" t="s">
        <v>231</v>
      </c>
      <c r="B56" s="45"/>
    </row>
    <row r="57" spans="1:2" ht="14.25">
      <c r="A57" s="47" t="s">
        <v>121</v>
      </c>
      <c r="B57" s="48"/>
    </row>
    <row r="58" spans="1:5" ht="13.5">
      <c r="A58" s="49" t="s">
        <v>0</v>
      </c>
      <c r="B58" s="49" t="s">
        <v>122</v>
      </c>
      <c r="C58" s="49" t="s">
        <v>123</v>
      </c>
      <c r="D58" s="49" t="s">
        <v>7</v>
      </c>
      <c r="E58" s="49" t="s">
        <v>124</v>
      </c>
    </row>
    <row r="59" spans="1:5" ht="12.75">
      <c r="A59" s="46" t="s">
        <v>921</v>
      </c>
      <c r="B59" s="34" t="s">
        <v>125</v>
      </c>
      <c r="C59" s="34" t="s">
        <v>126</v>
      </c>
      <c r="D59" s="34" t="s">
        <v>1208</v>
      </c>
      <c r="E59" s="50" t="s">
        <v>1209</v>
      </c>
    </row>
    <row r="61" spans="1:2" ht="14.25">
      <c r="A61" s="47" t="s">
        <v>132</v>
      </c>
      <c r="B61" s="48"/>
    </row>
    <row r="62" spans="1:5" ht="13.5">
      <c r="A62" s="49" t="s">
        <v>0</v>
      </c>
      <c r="B62" s="49" t="s">
        <v>122</v>
      </c>
      <c r="C62" s="49" t="s">
        <v>123</v>
      </c>
      <c r="D62" s="49" t="s">
        <v>7</v>
      </c>
      <c r="E62" s="49" t="s">
        <v>124</v>
      </c>
    </row>
    <row r="63" spans="1:5" ht="12.75">
      <c r="A63" s="46" t="s">
        <v>912</v>
      </c>
      <c r="B63" s="34" t="s">
        <v>132</v>
      </c>
      <c r="C63" s="34" t="s">
        <v>240</v>
      </c>
      <c r="D63" s="34" t="s">
        <v>1210</v>
      </c>
      <c r="E63" s="50" t="s">
        <v>1211</v>
      </c>
    </row>
    <row r="64" spans="1:5" ht="12.75">
      <c r="A64" s="46" t="s">
        <v>1175</v>
      </c>
      <c r="B64" s="34" t="s">
        <v>132</v>
      </c>
      <c r="C64" s="34" t="s">
        <v>566</v>
      </c>
      <c r="D64" s="34" t="s">
        <v>1212</v>
      </c>
      <c r="E64" s="50" t="s">
        <v>1213</v>
      </c>
    </row>
    <row r="65" spans="1:5" ht="12.75">
      <c r="A65" s="46" t="s">
        <v>1177</v>
      </c>
      <c r="B65" s="34" t="s">
        <v>132</v>
      </c>
      <c r="C65" s="34" t="s">
        <v>566</v>
      </c>
      <c r="D65" s="34" t="s">
        <v>213</v>
      </c>
      <c r="E65" s="50" t="s">
        <v>1214</v>
      </c>
    </row>
    <row r="66" spans="1:5" ht="12.75">
      <c r="A66" s="46" t="s">
        <v>1181</v>
      </c>
      <c r="B66" s="34" t="s">
        <v>132</v>
      </c>
      <c r="C66" s="34" t="s">
        <v>235</v>
      </c>
      <c r="D66" s="34" t="s">
        <v>1215</v>
      </c>
      <c r="E66" s="50" t="s">
        <v>1216</v>
      </c>
    </row>
    <row r="67" spans="1:5" ht="12.75">
      <c r="A67" s="46" t="s">
        <v>1184</v>
      </c>
      <c r="B67" s="34" t="s">
        <v>132</v>
      </c>
      <c r="C67" s="34" t="s">
        <v>139</v>
      </c>
      <c r="D67" s="34" t="s">
        <v>93</v>
      </c>
      <c r="E67" s="50" t="s">
        <v>1217</v>
      </c>
    </row>
    <row r="68" spans="1:5" ht="12.75">
      <c r="A68" s="46" t="s">
        <v>273</v>
      </c>
      <c r="B68" s="34" t="s">
        <v>132</v>
      </c>
      <c r="C68" s="34" t="s">
        <v>424</v>
      </c>
      <c r="D68" s="34" t="s">
        <v>38</v>
      </c>
      <c r="E68" s="50" t="s">
        <v>1218</v>
      </c>
    </row>
    <row r="70" spans="1:2" ht="14.25">
      <c r="A70" s="47" t="s">
        <v>152</v>
      </c>
      <c r="B70" s="48"/>
    </row>
    <row r="71" spans="1:5" ht="13.5">
      <c r="A71" s="49" t="s">
        <v>0</v>
      </c>
      <c r="B71" s="49" t="s">
        <v>122</v>
      </c>
      <c r="C71" s="49" t="s">
        <v>123</v>
      </c>
      <c r="D71" s="49" t="s">
        <v>7</v>
      </c>
      <c r="E71" s="49" t="s">
        <v>124</v>
      </c>
    </row>
    <row r="72" spans="1:5" ht="12.75">
      <c r="A72" s="46" t="s">
        <v>1175</v>
      </c>
      <c r="B72" s="34" t="s">
        <v>155</v>
      </c>
      <c r="C72" s="34" t="s">
        <v>566</v>
      </c>
      <c r="D72" s="34" t="s">
        <v>1212</v>
      </c>
      <c r="E72" s="50" t="s">
        <v>1219</v>
      </c>
    </row>
    <row r="73" spans="1:5" ht="12.75">
      <c r="A73" s="46" t="s">
        <v>273</v>
      </c>
      <c r="B73" s="34" t="s">
        <v>153</v>
      </c>
      <c r="C73" s="34" t="s">
        <v>424</v>
      </c>
      <c r="D73" s="34" t="s">
        <v>38</v>
      </c>
      <c r="E73" s="50" t="s">
        <v>1220</v>
      </c>
    </row>
    <row r="76" spans="1:2" ht="15">
      <c r="A76" s="45" t="s">
        <v>120</v>
      </c>
      <c r="B76" s="45"/>
    </row>
    <row r="77" spans="1:2" ht="14.25">
      <c r="A77" s="47" t="s">
        <v>427</v>
      </c>
      <c r="B77" s="48"/>
    </row>
    <row r="78" spans="1:5" ht="13.5">
      <c r="A78" s="49" t="s">
        <v>0</v>
      </c>
      <c r="B78" s="49" t="s">
        <v>122</v>
      </c>
      <c r="C78" s="49" t="s">
        <v>123</v>
      </c>
      <c r="D78" s="49" t="s">
        <v>7</v>
      </c>
      <c r="E78" s="49" t="s">
        <v>124</v>
      </c>
    </row>
    <row r="79" spans="1:5" ht="12.75">
      <c r="A79" s="46" t="s">
        <v>1186</v>
      </c>
      <c r="B79" s="34" t="s">
        <v>428</v>
      </c>
      <c r="C79" s="34" t="s">
        <v>129</v>
      </c>
      <c r="D79" s="34" t="s">
        <v>184</v>
      </c>
      <c r="E79" s="50" t="s">
        <v>1221</v>
      </c>
    </row>
    <row r="81" spans="1:2" ht="14.25">
      <c r="A81" s="47" t="s">
        <v>121</v>
      </c>
      <c r="B81" s="48"/>
    </row>
    <row r="82" spans="1:5" ht="13.5">
      <c r="A82" s="49" t="s">
        <v>0</v>
      </c>
      <c r="B82" s="49" t="s">
        <v>122</v>
      </c>
      <c r="C82" s="49" t="s">
        <v>123</v>
      </c>
      <c r="D82" s="49" t="s">
        <v>7</v>
      </c>
      <c r="E82" s="49" t="s">
        <v>124</v>
      </c>
    </row>
    <row r="83" spans="1:5" ht="12.75">
      <c r="A83" s="46" t="s">
        <v>1195</v>
      </c>
      <c r="B83" s="34" t="s">
        <v>125</v>
      </c>
      <c r="C83" s="34" t="s">
        <v>149</v>
      </c>
      <c r="D83" s="34" t="s">
        <v>608</v>
      </c>
      <c r="E83" s="50" t="s">
        <v>1222</v>
      </c>
    </row>
    <row r="85" spans="1:2" ht="14.25">
      <c r="A85" s="47" t="s">
        <v>132</v>
      </c>
      <c r="B85" s="48"/>
    </row>
    <row r="86" spans="1:5" ht="13.5">
      <c r="A86" s="49" t="s">
        <v>0</v>
      </c>
      <c r="B86" s="49" t="s">
        <v>122</v>
      </c>
      <c r="C86" s="49" t="s">
        <v>123</v>
      </c>
      <c r="D86" s="49" t="s">
        <v>7</v>
      </c>
      <c r="E86" s="49" t="s">
        <v>124</v>
      </c>
    </row>
    <row r="87" spans="1:5" ht="12.75">
      <c r="A87" s="46" t="s">
        <v>508</v>
      </c>
      <c r="B87" s="34" t="s">
        <v>132</v>
      </c>
      <c r="C87" s="34" t="s">
        <v>235</v>
      </c>
      <c r="D87" s="34" t="s">
        <v>1223</v>
      </c>
      <c r="E87" s="50" t="s">
        <v>1224</v>
      </c>
    </row>
    <row r="88" spans="1:5" ht="12.75">
      <c r="A88" s="46" t="s">
        <v>1201</v>
      </c>
      <c r="B88" s="34" t="s">
        <v>132</v>
      </c>
      <c r="C88" s="34" t="s">
        <v>142</v>
      </c>
      <c r="D88" s="34" t="s">
        <v>143</v>
      </c>
      <c r="E88" s="50" t="s">
        <v>1225</v>
      </c>
    </row>
    <row r="89" spans="1:5" ht="12.75">
      <c r="A89" s="46" t="s">
        <v>1189</v>
      </c>
      <c r="B89" s="34" t="s">
        <v>132</v>
      </c>
      <c r="C89" s="34" t="s">
        <v>126</v>
      </c>
      <c r="D89" s="34" t="s">
        <v>1223</v>
      </c>
      <c r="E89" s="50" t="s">
        <v>1226</v>
      </c>
    </row>
    <row r="90" spans="1:5" ht="12.75">
      <c r="A90" s="46" t="s">
        <v>1199</v>
      </c>
      <c r="B90" s="34" t="s">
        <v>132</v>
      </c>
      <c r="C90" s="34" t="s">
        <v>133</v>
      </c>
      <c r="D90" s="34" t="s">
        <v>1227</v>
      </c>
      <c r="E90" s="50" t="s">
        <v>1228</v>
      </c>
    </row>
    <row r="91" spans="1:5" ht="12.75">
      <c r="A91" s="46" t="s">
        <v>1205</v>
      </c>
      <c r="B91" s="34" t="s">
        <v>132</v>
      </c>
      <c r="C91" s="34" t="s">
        <v>142</v>
      </c>
      <c r="D91" s="34" t="s">
        <v>1229</v>
      </c>
      <c r="E91" s="50" t="s">
        <v>1230</v>
      </c>
    </row>
    <row r="92" spans="1:5" ht="12.75">
      <c r="A92" s="46" t="s">
        <v>1192</v>
      </c>
      <c r="B92" s="34" t="s">
        <v>132</v>
      </c>
      <c r="C92" s="34" t="s">
        <v>126</v>
      </c>
      <c r="D92" s="34" t="s">
        <v>1231</v>
      </c>
      <c r="E92" s="50" t="s">
        <v>1232</v>
      </c>
    </row>
    <row r="93" spans="1:5" ht="12.75">
      <c r="A93" s="46" t="s">
        <v>1197</v>
      </c>
      <c r="B93" s="34" t="s">
        <v>132</v>
      </c>
      <c r="C93" s="34" t="s">
        <v>149</v>
      </c>
      <c r="D93" s="34" t="s">
        <v>568</v>
      </c>
      <c r="E93" s="50" t="s">
        <v>1233</v>
      </c>
    </row>
  </sheetData>
  <sheetProtection/>
  <mergeCells count="25">
    <mergeCell ref="A36:T36"/>
    <mergeCell ref="A40:T40"/>
    <mergeCell ref="A43:T43"/>
    <mergeCell ref="A17:T17"/>
    <mergeCell ref="A20:T20"/>
    <mergeCell ref="A23:T23"/>
    <mergeCell ref="A26:T26"/>
    <mergeCell ref="A29:T29"/>
    <mergeCell ref="A32:T32"/>
    <mergeCell ref="S3:S4"/>
    <mergeCell ref="T3:T4"/>
    <mergeCell ref="U3:U4"/>
    <mergeCell ref="A5:T5"/>
    <mergeCell ref="A9:T9"/>
    <mergeCell ref="A14:T1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27.00390625" style="34" bestFit="1" customWidth="1"/>
    <col min="2" max="2" width="26.0039062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13.875" style="34" bestFit="1" customWidth="1"/>
    <col min="7" max="9" width="5.50390625" style="34" bestFit="1" customWidth="1"/>
    <col min="10" max="10" width="4.875" style="34" bestFit="1" customWidth="1"/>
    <col min="11" max="13" width="5.50390625" style="34" bestFit="1" customWidth="1"/>
    <col min="14" max="14" width="4.875" style="34" bestFit="1" customWidth="1"/>
    <col min="15" max="17" width="5.50390625" style="34" bestFit="1" customWidth="1"/>
    <col min="18" max="18" width="4.875" style="34" bestFit="1" customWidth="1"/>
    <col min="19" max="19" width="6.625" style="34" bestFit="1" customWidth="1"/>
    <col min="20" max="20" width="8.50390625" style="34" bestFit="1" customWidth="1"/>
    <col min="21" max="21" width="7.50390625" style="34" bestFit="1" customWidth="1"/>
  </cols>
  <sheetData>
    <row r="1" spans="1:21" s="1" customFormat="1" ht="15" customHeight="1">
      <c r="A1" s="55" t="s">
        <v>1306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1" customFormat="1" ht="78.7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7" customFormat="1" ht="12.7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4</v>
      </c>
      <c r="H3" s="65"/>
      <c r="I3" s="65"/>
      <c r="J3" s="51"/>
      <c r="K3" s="61" t="s">
        <v>5</v>
      </c>
      <c r="L3" s="65"/>
      <c r="M3" s="65"/>
      <c r="N3" s="51"/>
      <c r="O3" s="61" t="s">
        <v>6</v>
      </c>
      <c r="P3" s="65"/>
      <c r="Q3" s="65"/>
      <c r="R3" s="51"/>
      <c r="S3" s="66" t="s">
        <v>7</v>
      </c>
      <c r="T3" s="65" t="s">
        <v>9</v>
      </c>
      <c r="U3" s="51" t="s">
        <v>8</v>
      </c>
    </row>
    <row r="4" spans="1:21" s="7" customFormat="1" ht="23.2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67"/>
      <c r="T4" s="64"/>
      <c r="U4" s="52"/>
    </row>
    <row r="5" spans="1:20" ht="15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 ht="12.75">
      <c r="A6" s="37" t="s">
        <v>605</v>
      </c>
      <c r="B6" s="37" t="s">
        <v>606</v>
      </c>
      <c r="C6" s="37" t="s">
        <v>607</v>
      </c>
      <c r="D6" s="37" t="str">
        <f>"0,6467"</f>
        <v>0,6467</v>
      </c>
      <c r="E6" s="37" t="s">
        <v>276</v>
      </c>
      <c r="F6" s="37" t="s">
        <v>18</v>
      </c>
      <c r="G6" s="37" t="s">
        <v>22</v>
      </c>
      <c r="H6" s="38" t="s">
        <v>70</v>
      </c>
      <c r="I6" s="38" t="s">
        <v>70</v>
      </c>
      <c r="J6" s="38"/>
      <c r="K6" s="37" t="s">
        <v>47</v>
      </c>
      <c r="L6" s="37" t="s">
        <v>317</v>
      </c>
      <c r="M6" s="38" t="s">
        <v>19</v>
      </c>
      <c r="N6" s="38"/>
      <c r="O6" s="37" t="s">
        <v>66</v>
      </c>
      <c r="P6" s="37" t="s">
        <v>264</v>
      </c>
      <c r="Q6" s="38" t="s">
        <v>70</v>
      </c>
      <c r="R6" s="38"/>
      <c r="S6" s="37">
        <v>550</v>
      </c>
      <c r="T6" s="37" t="str">
        <f>"355,6575"</f>
        <v>355,6575</v>
      </c>
      <c r="U6" s="37"/>
    </row>
    <row r="8" ht="15">
      <c r="E8" s="35" t="s">
        <v>113</v>
      </c>
    </row>
    <row r="9" ht="15">
      <c r="E9" s="35" t="s">
        <v>114</v>
      </c>
    </row>
    <row r="10" ht="15">
      <c r="E10" s="35" t="s">
        <v>115</v>
      </c>
    </row>
    <row r="11" ht="12.75">
      <c r="E11" s="34" t="s">
        <v>116</v>
      </c>
    </row>
    <row r="12" ht="12.75">
      <c r="E12" s="34" t="s">
        <v>117</v>
      </c>
    </row>
    <row r="13" ht="12.75">
      <c r="E13" s="34" t="s">
        <v>118</v>
      </c>
    </row>
    <row r="16" spans="1:2" ht="17.25">
      <c r="A16" s="36" t="s">
        <v>119</v>
      </c>
      <c r="B16" s="36"/>
    </row>
    <row r="17" spans="1:2" ht="15">
      <c r="A17" s="45" t="s">
        <v>120</v>
      </c>
      <c r="B17" s="45"/>
    </row>
    <row r="18" spans="1:2" ht="14.25">
      <c r="A18" s="47" t="s">
        <v>121</v>
      </c>
      <c r="B18" s="48"/>
    </row>
    <row r="19" spans="1:5" ht="13.5">
      <c r="A19" s="49" t="s">
        <v>0</v>
      </c>
      <c r="B19" s="49" t="s">
        <v>122</v>
      </c>
      <c r="C19" s="49" t="s">
        <v>123</v>
      </c>
      <c r="D19" s="49" t="s">
        <v>7</v>
      </c>
      <c r="E19" s="49" t="s">
        <v>124</v>
      </c>
    </row>
    <row r="20" spans="1:5" ht="12.75">
      <c r="A20" s="46" t="s">
        <v>605</v>
      </c>
      <c r="B20" s="34" t="s">
        <v>125</v>
      </c>
      <c r="C20" s="34" t="s">
        <v>139</v>
      </c>
      <c r="D20" s="34" t="s">
        <v>608</v>
      </c>
      <c r="E20" s="50" t="s">
        <v>609</v>
      </c>
    </row>
  </sheetData>
  <sheetProtection/>
  <mergeCells count="14"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5"/>
  <sheetViews>
    <sheetView zoomScalePageLayoutView="0" workbookViewId="0" topLeftCell="A1">
      <selection activeCell="B14" sqref="B13:B14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20.625" style="34" bestFit="1" customWidth="1"/>
    <col min="6" max="6" width="36.50390625" style="34" bestFit="1" customWidth="1"/>
    <col min="7" max="9" width="5.50390625" style="34" bestFit="1" customWidth="1"/>
    <col min="10" max="10" width="4.875" style="34" bestFit="1" customWidth="1"/>
    <col min="11" max="11" width="6.625" style="34" bestFit="1" customWidth="1"/>
    <col min="12" max="12" width="8.50390625" style="34" bestFit="1" customWidth="1"/>
    <col min="13" max="13" width="14.50390625" style="34" bestFit="1" customWidth="1"/>
  </cols>
  <sheetData>
    <row r="1" spans="1:13" s="1" customFormat="1" ht="15" customHeight="1">
      <c r="A1" s="55" t="s">
        <v>1305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94.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12.7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5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23.2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53" t="s">
        <v>272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9" t="s">
        <v>273</v>
      </c>
      <c r="B6" s="39" t="s">
        <v>274</v>
      </c>
      <c r="C6" s="39" t="s">
        <v>275</v>
      </c>
      <c r="D6" s="39" t="str">
        <f>"1,2851"</f>
        <v>1,2851</v>
      </c>
      <c r="E6" s="39" t="s">
        <v>276</v>
      </c>
      <c r="F6" s="39" t="s">
        <v>277</v>
      </c>
      <c r="G6" s="40" t="s">
        <v>279</v>
      </c>
      <c r="H6" s="40"/>
      <c r="I6" s="40"/>
      <c r="J6" s="40"/>
      <c r="K6" s="39">
        <v>0</v>
      </c>
      <c r="L6" s="39" t="str">
        <f>"0,0000"</f>
        <v>0,0000</v>
      </c>
      <c r="M6" s="39"/>
    </row>
    <row r="7" spans="1:13" ht="12.75">
      <c r="A7" s="41" t="s">
        <v>273</v>
      </c>
      <c r="B7" s="41" t="s">
        <v>284</v>
      </c>
      <c r="C7" s="41" t="s">
        <v>275</v>
      </c>
      <c r="D7" s="41" t="str">
        <f>"1,3108"</f>
        <v>1,3108</v>
      </c>
      <c r="E7" s="41" t="s">
        <v>276</v>
      </c>
      <c r="F7" s="41" t="s">
        <v>277</v>
      </c>
      <c r="G7" s="42" t="s">
        <v>279</v>
      </c>
      <c r="H7" s="42"/>
      <c r="I7" s="42"/>
      <c r="J7" s="42"/>
      <c r="K7" s="41">
        <v>0</v>
      </c>
      <c r="L7" s="41" t="str">
        <f>"0,0000"</f>
        <v>0,0000</v>
      </c>
      <c r="M7" s="41"/>
    </row>
    <row r="9" spans="1:12" ht="15">
      <c r="A9" s="54" t="s">
        <v>486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ht="12.75">
      <c r="A10" s="37" t="s">
        <v>610</v>
      </c>
      <c r="B10" s="37" t="s">
        <v>611</v>
      </c>
      <c r="C10" s="37" t="s">
        <v>612</v>
      </c>
      <c r="D10" s="37" t="str">
        <f>"1,1790"</f>
        <v>1,1790</v>
      </c>
      <c r="E10" s="37" t="s">
        <v>17</v>
      </c>
      <c r="F10" s="37" t="s">
        <v>211</v>
      </c>
      <c r="G10" s="37" t="s">
        <v>181</v>
      </c>
      <c r="H10" s="38" t="s">
        <v>289</v>
      </c>
      <c r="I10" s="37" t="s">
        <v>289</v>
      </c>
      <c r="J10" s="38"/>
      <c r="K10" s="37">
        <v>70</v>
      </c>
      <c r="L10" s="37" t="str">
        <f>"82,5300"</f>
        <v>82,5300</v>
      </c>
      <c r="M10" s="37"/>
    </row>
    <row r="12" spans="1:12" ht="15">
      <c r="A12" s="54" t="s">
        <v>285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39" t="s">
        <v>613</v>
      </c>
      <c r="B13" s="39" t="s">
        <v>614</v>
      </c>
      <c r="C13" s="39" t="s">
        <v>615</v>
      </c>
      <c r="D13" s="39" t="str">
        <f>"1,1195"</f>
        <v>1,1195</v>
      </c>
      <c r="E13" s="39" t="s">
        <v>17</v>
      </c>
      <c r="F13" s="39" t="s">
        <v>101</v>
      </c>
      <c r="G13" s="39" t="s">
        <v>165</v>
      </c>
      <c r="H13" s="40" t="s">
        <v>166</v>
      </c>
      <c r="I13" s="40" t="s">
        <v>166</v>
      </c>
      <c r="J13" s="40"/>
      <c r="K13" s="39">
        <v>50</v>
      </c>
      <c r="L13" s="39" t="str">
        <f>"55,9750"</f>
        <v>55,9750</v>
      </c>
      <c r="M13" s="39"/>
    </row>
    <row r="14" spans="1:13" ht="12.75">
      <c r="A14" s="41" t="s">
        <v>286</v>
      </c>
      <c r="B14" s="41" t="s">
        <v>287</v>
      </c>
      <c r="C14" s="41" t="s">
        <v>288</v>
      </c>
      <c r="D14" s="41" t="str">
        <f>"1,1299"</f>
        <v>1,1299</v>
      </c>
      <c r="E14" s="41" t="s">
        <v>17</v>
      </c>
      <c r="F14" s="41" t="s">
        <v>101</v>
      </c>
      <c r="G14" s="42" t="s">
        <v>182</v>
      </c>
      <c r="H14" s="42" t="s">
        <v>496</v>
      </c>
      <c r="I14" s="42" t="s">
        <v>496</v>
      </c>
      <c r="J14" s="42"/>
      <c r="K14" s="41">
        <v>0</v>
      </c>
      <c r="L14" s="41" t="str">
        <f>"0,0000"</f>
        <v>0,0000</v>
      </c>
      <c r="M14" s="41"/>
    </row>
    <row r="16" spans="1:12" ht="15">
      <c r="A16" s="54" t="s">
        <v>158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3" ht="12.75">
      <c r="A17" s="39" t="s">
        <v>616</v>
      </c>
      <c r="B17" s="39" t="s">
        <v>617</v>
      </c>
      <c r="C17" s="39" t="s">
        <v>618</v>
      </c>
      <c r="D17" s="39" t="str">
        <f>"1,0500"</f>
        <v>1,0500</v>
      </c>
      <c r="E17" s="39" t="s">
        <v>17</v>
      </c>
      <c r="F17" s="39" t="s">
        <v>331</v>
      </c>
      <c r="G17" s="40" t="s">
        <v>304</v>
      </c>
      <c r="H17" s="39" t="s">
        <v>619</v>
      </c>
      <c r="I17" s="40" t="s">
        <v>181</v>
      </c>
      <c r="J17" s="40"/>
      <c r="K17" s="39">
        <v>62.5</v>
      </c>
      <c r="L17" s="39" t="str">
        <f>"65,6250"</f>
        <v>65,6250</v>
      </c>
      <c r="M17" s="39"/>
    </row>
    <row r="18" spans="1:13" ht="12.75">
      <c r="A18" s="43" t="s">
        <v>620</v>
      </c>
      <c r="B18" s="43" t="s">
        <v>621</v>
      </c>
      <c r="C18" s="43" t="s">
        <v>618</v>
      </c>
      <c r="D18" s="43" t="str">
        <f>"1,0500"</f>
        <v>1,0500</v>
      </c>
      <c r="E18" s="43" t="s">
        <v>17</v>
      </c>
      <c r="F18" s="43" t="s">
        <v>101</v>
      </c>
      <c r="G18" s="44" t="s">
        <v>619</v>
      </c>
      <c r="H18" s="44" t="s">
        <v>619</v>
      </c>
      <c r="I18" s="43" t="s">
        <v>619</v>
      </c>
      <c r="J18" s="44"/>
      <c r="K18" s="43">
        <v>62.5</v>
      </c>
      <c r="L18" s="43" t="str">
        <f>"65,6250"</f>
        <v>65,6250</v>
      </c>
      <c r="M18" s="43"/>
    </row>
    <row r="19" spans="1:13" ht="12.75">
      <c r="A19" s="41" t="s">
        <v>622</v>
      </c>
      <c r="B19" s="41" t="s">
        <v>623</v>
      </c>
      <c r="C19" s="41" t="s">
        <v>624</v>
      </c>
      <c r="D19" s="41" t="str">
        <f>"1,0975"</f>
        <v>1,0975</v>
      </c>
      <c r="E19" s="41" t="s">
        <v>85</v>
      </c>
      <c r="F19" s="41" t="s">
        <v>101</v>
      </c>
      <c r="G19" s="41" t="s">
        <v>491</v>
      </c>
      <c r="H19" s="41" t="s">
        <v>189</v>
      </c>
      <c r="I19" s="42" t="s">
        <v>625</v>
      </c>
      <c r="J19" s="42"/>
      <c r="K19" s="41">
        <v>45</v>
      </c>
      <c r="L19" s="41" t="str">
        <f>"49,3875"</f>
        <v>49,3875</v>
      </c>
      <c r="M19" s="41"/>
    </row>
    <row r="21" spans="1:12" ht="15">
      <c r="A21" s="54" t="s">
        <v>13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3" ht="12.75">
      <c r="A22" s="39" t="s">
        <v>626</v>
      </c>
      <c r="B22" s="39" t="s">
        <v>627</v>
      </c>
      <c r="C22" s="39" t="s">
        <v>628</v>
      </c>
      <c r="D22" s="39" t="str">
        <f>"1,0065"</f>
        <v>1,0065</v>
      </c>
      <c r="E22" s="39" t="s">
        <v>17</v>
      </c>
      <c r="F22" s="39" t="s">
        <v>629</v>
      </c>
      <c r="G22" s="39" t="s">
        <v>630</v>
      </c>
      <c r="H22" s="39" t="s">
        <v>304</v>
      </c>
      <c r="I22" s="40" t="s">
        <v>283</v>
      </c>
      <c r="J22" s="40"/>
      <c r="K22" s="39">
        <v>57.5</v>
      </c>
      <c r="L22" s="39" t="str">
        <f>"57,8738"</f>
        <v>57,8738</v>
      </c>
      <c r="M22" s="39"/>
    </row>
    <row r="23" spans="1:13" ht="12.75">
      <c r="A23" s="41" t="s">
        <v>631</v>
      </c>
      <c r="B23" s="41" t="s">
        <v>632</v>
      </c>
      <c r="C23" s="41" t="s">
        <v>633</v>
      </c>
      <c r="D23" s="41" t="str">
        <f>"1,0205"</f>
        <v>1,0205</v>
      </c>
      <c r="E23" s="41" t="s">
        <v>17</v>
      </c>
      <c r="F23" s="41" t="s">
        <v>101</v>
      </c>
      <c r="G23" s="41" t="s">
        <v>282</v>
      </c>
      <c r="H23" s="42" t="s">
        <v>634</v>
      </c>
      <c r="I23" s="42" t="s">
        <v>634</v>
      </c>
      <c r="J23" s="42"/>
      <c r="K23" s="41">
        <v>32.5</v>
      </c>
      <c r="L23" s="41" t="str">
        <f>"33,1662"</f>
        <v>33,1662</v>
      </c>
      <c r="M23" s="41"/>
    </row>
    <row r="25" spans="1:12" ht="15">
      <c r="A25" s="54" t="s">
        <v>176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3" ht="12.75">
      <c r="A26" s="39" t="s">
        <v>635</v>
      </c>
      <c r="B26" s="39" t="s">
        <v>636</v>
      </c>
      <c r="C26" s="39" t="s">
        <v>637</v>
      </c>
      <c r="D26" s="39" t="str">
        <f>"0,9404"</f>
        <v>0,9404</v>
      </c>
      <c r="E26" s="39" t="s">
        <v>17</v>
      </c>
      <c r="F26" s="39" t="s">
        <v>638</v>
      </c>
      <c r="G26" s="39" t="s">
        <v>166</v>
      </c>
      <c r="H26" s="39" t="s">
        <v>283</v>
      </c>
      <c r="I26" s="40" t="s">
        <v>181</v>
      </c>
      <c r="J26" s="40"/>
      <c r="K26" s="39">
        <v>60</v>
      </c>
      <c r="L26" s="39" t="str">
        <f>"56,4240"</f>
        <v>56,4240</v>
      </c>
      <c r="M26" s="39"/>
    </row>
    <row r="27" spans="1:13" ht="12.75">
      <c r="A27" s="43" t="s">
        <v>639</v>
      </c>
      <c r="B27" s="43" t="s">
        <v>640</v>
      </c>
      <c r="C27" s="43" t="s">
        <v>641</v>
      </c>
      <c r="D27" s="43" t="str">
        <f>"0,9233"</f>
        <v>0,9233</v>
      </c>
      <c r="E27" s="43" t="s">
        <v>17</v>
      </c>
      <c r="F27" s="43" t="s">
        <v>642</v>
      </c>
      <c r="G27" s="43" t="s">
        <v>163</v>
      </c>
      <c r="H27" s="43" t="s">
        <v>188</v>
      </c>
      <c r="I27" s="44" t="s">
        <v>23</v>
      </c>
      <c r="J27" s="44"/>
      <c r="K27" s="43">
        <v>87.5</v>
      </c>
      <c r="L27" s="43" t="str">
        <f>"80,7844"</f>
        <v>80,7844</v>
      </c>
      <c r="M27" s="43"/>
    </row>
    <row r="28" spans="1:13" ht="12.75">
      <c r="A28" s="43" t="s">
        <v>643</v>
      </c>
      <c r="B28" s="43" t="s">
        <v>644</v>
      </c>
      <c r="C28" s="43" t="s">
        <v>645</v>
      </c>
      <c r="D28" s="43" t="str">
        <f>"0,9244"</f>
        <v>0,9244</v>
      </c>
      <c r="E28" s="43" t="s">
        <v>17</v>
      </c>
      <c r="F28" s="43" t="s">
        <v>101</v>
      </c>
      <c r="G28" s="43" t="s">
        <v>646</v>
      </c>
      <c r="H28" s="43" t="s">
        <v>25</v>
      </c>
      <c r="I28" s="44" t="s">
        <v>26</v>
      </c>
      <c r="J28" s="44"/>
      <c r="K28" s="43">
        <v>102.5</v>
      </c>
      <c r="L28" s="43" t="str">
        <f>"94,7510"</f>
        <v>94,7510</v>
      </c>
      <c r="M28" s="43"/>
    </row>
    <row r="29" spans="1:13" ht="12.75">
      <c r="A29" s="41" t="s">
        <v>647</v>
      </c>
      <c r="B29" s="41" t="s">
        <v>648</v>
      </c>
      <c r="C29" s="41" t="s">
        <v>649</v>
      </c>
      <c r="D29" s="41" t="str">
        <f>"1,0301"</f>
        <v>1,0301</v>
      </c>
      <c r="E29" s="41" t="s">
        <v>85</v>
      </c>
      <c r="F29" s="41" t="s">
        <v>629</v>
      </c>
      <c r="G29" s="41" t="s">
        <v>289</v>
      </c>
      <c r="H29" s="41" t="s">
        <v>290</v>
      </c>
      <c r="I29" s="42" t="s">
        <v>496</v>
      </c>
      <c r="J29" s="42"/>
      <c r="K29" s="41">
        <v>75</v>
      </c>
      <c r="L29" s="41" t="str">
        <f>"77,2561"</f>
        <v>77,2561</v>
      </c>
      <c r="M29" s="41"/>
    </row>
    <row r="31" spans="1:12" ht="15">
      <c r="A31" s="54" t="s">
        <v>191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3" ht="12.75">
      <c r="A32" s="39" t="s">
        <v>650</v>
      </c>
      <c r="B32" s="39" t="s">
        <v>651</v>
      </c>
      <c r="C32" s="39" t="s">
        <v>652</v>
      </c>
      <c r="D32" s="39" t="str">
        <f>"0,8572"</f>
        <v>0,8572</v>
      </c>
      <c r="E32" s="39" t="s">
        <v>85</v>
      </c>
      <c r="F32" s="39" t="s">
        <v>653</v>
      </c>
      <c r="G32" s="39" t="s">
        <v>619</v>
      </c>
      <c r="H32" s="39" t="s">
        <v>278</v>
      </c>
      <c r="I32" s="39" t="s">
        <v>289</v>
      </c>
      <c r="J32" s="40"/>
      <c r="K32" s="39">
        <v>70</v>
      </c>
      <c r="L32" s="39" t="str">
        <f>"60,0005"</f>
        <v>60,0005</v>
      </c>
      <c r="M32" s="39"/>
    </row>
    <row r="33" spans="1:13" ht="12.75">
      <c r="A33" s="41" t="s">
        <v>654</v>
      </c>
      <c r="B33" s="41" t="s">
        <v>655</v>
      </c>
      <c r="C33" s="41" t="s">
        <v>656</v>
      </c>
      <c r="D33" s="41" t="str">
        <f>"0,8809"</f>
        <v>0,8809</v>
      </c>
      <c r="E33" s="41" t="s">
        <v>17</v>
      </c>
      <c r="F33" s="41" t="s">
        <v>101</v>
      </c>
      <c r="G33" s="41" t="s">
        <v>189</v>
      </c>
      <c r="H33" s="42" t="s">
        <v>165</v>
      </c>
      <c r="I33" s="42" t="s">
        <v>165</v>
      </c>
      <c r="J33" s="42"/>
      <c r="K33" s="41">
        <v>45</v>
      </c>
      <c r="L33" s="41" t="str">
        <f>"39,6383"</f>
        <v>39,6383</v>
      </c>
      <c r="M33" s="41"/>
    </row>
    <row r="35" spans="1:12" ht="15">
      <c r="A35" s="54" t="s">
        <v>285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3" ht="12.75">
      <c r="A36" s="37" t="s">
        <v>657</v>
      </c>
      <c r="B36" s="37" t="s">
        <v>658</v>
      </c>
      <c r="C36" s="37" t="s">
        <v>659</v>
      </c>
      <c r="D36" s="37" t="str">
        <f>"1,3243"</f>
        <v>1,3243</v>
      </c>
      <c r="E36" s="37" t="s">
        <v>85</v>
      </c>
      <c r="F36" s="37" t="s">
        <v>490</v>
      </c>
      <c r="G36" s="37" t="s">
        <v>625</v>
      </c>
      <c r="H36" s="37" t="s">
        <v>165</v>
      </c>
      <c r="I36" s="38" t="s">
        <v>630</v>
      </c>
      <c r="J36" s="38"/>
      <c r="K36" s="37">
        <v>50</v>
      </c>
      <c r="L36" s="37" t="str">
        <f>"66,2175"</f>
        <v>66,2175</v>
      </c>
      <c r="M36" s="37"/>
    </row>
    <row r="38" spans="1:12" ht="15">
      <c r="A38" s="54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13" ht="12.75">
      <c r="A39" s="39" t="s">
        <v>660</v>
      </c>
      <c r="B39" s="39" t="s">
        <v>661</v>
      </c>
      <c r="C39" s="39" t="s">
        <v>662</v>
      </c>
      <c r="D39" s="39" t="str">
        <f>"0,8440"</f>
        <v>0,8440</v>
      </c>
      <c r="E39" s="39" t="s">
        <v>17</v>
      </c>
      <c r="F39" s="39" t="s">
        <v>101</v>
      </c>
      <c r="G39" s="40" t="s">
        <v>47</v>
      </c>
      <c r="H39" s="39" t="s">
        <v>47</v>
      </c>
      <c r="I39" s="40" t="s">
        <v>175</v>
      </c>
      <c r="J39" s="40"/>
      <c r="K39" s="39">
        <v>130</v>
      </c>
      <c r="L39" s="39" t="str">
        <f>"109,7135"</f>
        <v>109,7135</v>
      </c>
      <c r="M39" s="39"/>
    </row>
    <row r="40" spans="1:13" ht="12.75">
      <c r="A40" s="41" t="s">
        <v>663</v>
      </c>
      <c r="B40" s="41" t="s">
        <v>664</v>
      </c>
      <c r="C40" s="41" t="s">
        <v>665</v>
      </c>
      <c r="D40" s="41" t="str">
        <f>"0,8328"</f>
        <v>0,8328</v>
      </c>
      <c r="E40" s="41" t="s">
        <v>17</v>
      </c>
      <c r="F40" s="41" t="s">
        <v>101</v>
      </c>
      <c r="G40" s="41" t="s">
        <v>67</v>
      </c>
      <c r="H40" s="41" t="s">
        <v>87</v>
      </c>
      <c r="I40" s="41" t="s">
        <v>504</v>
      </c>
      <c r="J40" s="42"/>
      <c r="K40" s="41">
        <v>117.5</v>
      </c>
      <c r="L40" s="41" t="str">
        <f>"97,8599"</f>
        <v>97,8599</v>
      </c>
      <c r="M40" s="41"/>
    </row>
    <row r="42" spans="1:12" ht="15">
      <c r="A42" s="54" t="s">
        <v>176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3" ht="12.75">
      <c r="A43" s="39" t="s">
        <v>666</v>
      </c>
      <c r="B43" s="39" t="s">
        <v>667</v>
      </c>
      <c r="C43" s="39" t="s">
        <v>668</v>
      </c>
      <c r="D43" s="39" t="str">
        <f>"0,7965"</f>
        <v>0,7965</v>
      </c>
      <c r="E43" s="39" t="s">
        <v>17</v>
      </c>
      <c r="F43" s="39" t="s">
        <v>490</v>
      </c>
      <c r="G43" s="39" t="s">
        <v>289</v>
      </c>
      <c r="H43" s="39" t="s">
        <v>290</v>
      </c>
      <c r="I43" s="39" t="s">
        <v>183</v>
      </c>
      <c r="J43" s="40"/>
      <c r="K43" s="39">
        <v>80</v>
      </c>
      <c r="L43" s="39" t="str">
        <f>"63,7240"</f>
        <v>63,7240</v>
      </c>
      <c r="M43" s="39"/>
    </row>
    <row r="44" spans="1:13" ht="12.75">
      <c r="A44" s="43" t="s">
        <v>669</v>
      </c>
      <c r="B44" s="43" t="s">
        <v>670</v>
      </c>
      <c r="C44" s="43" t="s">
        <v>671</v>
      </c>
      <c r="D44" s="43" t="str">
        <f>"0,8073"</f>
        <v>0,8073</v>
      </c>
      <c r="E44" s="43" t="s">
        <v>85</v>
      </c>
      <c r="F44" s="43" t="s">
        <v>415</v>
      </c>
      <c r="G44" s="43" t="s">
        <v>304</v>
      </c>
      <c r="H44" s="44" t="s">
        <v>619</v>
      </c>
      <c r="I44" s="44" t="s">
        <v>619</v>
      </c>
      <c r="J44" s="44"/>
      <c r="K44" s="43">
        <v>57.5</v>
      </c>
      <c r="L44" s="43" t="str">
        <f>"46,4169"</f>
        <v>46,4169</v>
      </c>
      <c r="M44" s="43"/>
    </row>
    <row r="45" spans="1:13" ht="12.75">
      <c r="A45" s="43" t="s">
        <v>672</v>
      </c>
      <c r="B45" s="43" t="s">
        <v>673</v>
      </c>
      <c r="C45" s="43" t="s">
        <v>674</v>
      </c>
      <c r="D45" s="43" t="str">
        <f>"0,7513"</f>
        <v>0,7513</v>
      </c>
      <c r="E45" s="43" t="s">
        <v>17</v>
      </c>
      <c r="F45" s="43" t="s">
        <v>101</v>
      </c>
      <c r="G45" s="43" t="s">
        <v>294</v>
      </c>
      <c r="H45" s="43" t="s">
        <v>48</v>
      </c>
      <c r="I45" s="44" t="s">
        <v>317</v>
      </c>
      <c r="J45" s="44"/>
      <c r="K45" s="43">
        <v>142.5</v>
      </c>
      <c r="L45" s="43" t="str">
        <f>"107,0531"</f>
        <v>107,0531</v>
      </c>
      <c r="M45" s="43"/>
    </row>
    <row r="46" spans="1:13" ht="12.75">
      <c r="A46" s="43" t="s">
        <v>675</v>
      </c>
      <c r="B46" s="43" t="s">
        <v>676</v>
      </c>
      <c r="C46" s="43" t="s">
        <v>677</v>
      </c>
      <c r="D46" s="43" t="str">
        <f>"0,7531"</f>
        <v>0,7531</v>
      </c>
      <c r="E46" s="43" t="s">
        <v>17</v>
      </c>
      <c r="F46" s="43" t="s">
        <v>653</v>
      </c>
      <c r="G46" s="43" t="s">
        <v>47</v>
      </c>
      <c r="H46" s="44" t="s">
        <v>48</v>
      </c>
      <c r="I46" s="44" t="s">
        <v>48</v>
      </c>
      <c r="J46" s="44"/>
      <c r="K46" s="43">
        <v>130</v>
      </c>
      <c r="L46" s="43" t="str">
        <f>"97,9095"</f>
        <v>97,9095</v>
      </c>
      <c r="M46" s="43"/>
    </row>
    <row r="47" spans="1:13" ht="12.75">
      <c r="A47" s="43" t="s">
        <v>678</v>
      </c>
      <c r="B47" s="43" t="s">
        <v>679</v>
      </c>
      <c r="C47" s="43" t="s">
        <v>680</v>
      </c>
      <c r="D47" s="43" t="str">
        <f>"0,7691"</f>
        <v>0,7691</v>
      </c>
      <c r="E47" s="43" t="s">
        <v>681</v>
      </c>
      <c r="F47" s="43" t="s">
        <v>75</v>
      </c>
      <c r="G47" s="43" t="s">
        <v>26</v>
      </c>
      <c r="H47" s="43" t="s">
        <v>167</v>
      </c>
      <c r="I47" s="43" t="s">
        <v>67</v>
      </c>
      <c r="J47" s="44"/>
      <c r="K47" s="43">
        <v>110</v>
      </c>
      <c r="L47" s="43" t="str">
        <f>"84,6010"</f>
        <v>84,6010</v>
      </c>
      <c r="M47" s="43"/>
    </row>
    <row r="48" spans="1:13" ht="12.75">
      <c r="A48" s="41" t="s">
        <v>682</v>
      </c>
      <c r="B48" s="41" t="s">
        <v>683</v>
      </c>
      <c r="C48" s="41" t="s">
        <v>684</v>
      </c>
      <c r="D48" s="41" t="str">
        <f>"0,7561"</f>
        <v>0,7561</v>
      </c>
      <c r="E48" s="41" t="s">
        <v>17</v>
      </c>
      <c r="F48" s="41" t="s">
        <v>101</v>
      </c>
      <c r="G48" s="42" t="s">
        <v>685</v>
      </c>
      <c r="H48" s="41" t="s">
        <v>163</v>
      </c>
      <c r="I48" s="42" t="s">
        <v>23</v>
      </c>
      <c r="J48" s="42"/>
      <c r="K48" s="41">
        <v>85</v>
      </c>
      <c r="L48" s="41" t="str">
        <f>"64,2685"</f>
        <v>64,2685</v>
      </c>
      <c r="M48" s="41"/>
    </row>
    <row r="50" spans="1:12" ht="15">
      <c r="A50" s="54" t="s">
        <v>191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3" ht="12.75">
      <c r="A51" s="39" t="s">
        <v>686</v>
      </c>
      <c r="B51" s="39" t="s">
        <v>687</v>
      </c>
      <c r="C51" s="39" t="s">
        <v>688</v>
      </c>
      <c r="D51" s="39" t="str">
        <f>"0,7049"</f>
        <v>0,7049</v>
      </c>
      <c r="E51" s="39" t="s">
        <v>17</v>
      </c>
      <c r="F51" s="39" t="s">
        <v>490</v>
      </c>
      <c r="G51" s="39" t="s">
        <v>504</v>
      </c>
      <c r="H51" s="39" t="s">
        <v>174</v>
      </c>
      <c r="I51" s="40" t="s">
        <v>68</v>
      </c>
      <c r="J51" s="40"/>
      <c r="K51" s="39">
        <v>120</v>
      </c>
      <c r="L51" s="39" t="str">
        <f>"84,5820"</f>
        <v>84,5820</v>
      </c>
      <c r="M51" s="39" t="s">
        <v>492</v>
      </c>
    </row>
    <row r="52" spans="1:13" ht="12.75">
      <c r="A52" s="43" t="s">
        <v>689</v>
      </c>
      <c r="B52" s="43" t="s">
        <v>690</v>
      </c>
      <c r="C52" s="43" t="s">
        <v>691</v>
      </c>
      <c r="D52" s="43" t="str">
        <f>"0,7086"</f>
        <v>0,7086</v>
      </c>
      <c r="E52" s="43" t="s">
        <v>17</v>
      </c>
      <c r="F52" s="43" t="s">
        <v>101</v>
      </c>
      <c r="G52" s="43" t="s">
        <v>68</v>
      </c>
      <c r="H52" s="43" t="s">
        <v>69</v>
      </c>
      <c r="I52" s="43" t="s">
        <v>259</v>
      </c>
      <c r="J52" s="44"/>
      <c r="K52" s="43">
        <v>137.5</v>
      </c>
      <c r="L52" s="43" t="str">
        <f>"97,4394"</f>
        <v>97,4394</v>
      </c>
      <c r="M52" s="43"/>
    </row>
    <row r="53" spans="1:13" ht="12.75">
      <c r="A53" s="43" t="s">
        <v>692</v>
      </c>
      <c r="B53" s="43" t="s">
        <v>693</v>
      </c>
      <c r="C53" s="43" t="s">
        <v>320</v>
      </c>
      <c r="D53" s="43" t="str">
        <f>"0,7012"</f>
        <v>0,7012</v>
      </c>
      <c r="E53" s="43" t="s">
        <v>17</v>
      </c>
      <c r="F53" s="43" t="s">
        <v>101</v>
      </c>
      <c r="G53" s="43" t="s">
        <v>174</v>
      </c>
      <c r="H53" s="44" t="s">
        <v>69</v>
      </c>
      <c r="I53" s="43" t="s">
        <v>69</v>
      </c>
      <c r="J53" s="44"/>
      <c r="K53" s="43">
        <v>135</v>
      </c>
      <c r="L53" s="43" t="str">
        <f>"94,6553"</f>
        <v>94,6553</v>
      </c>
      <c r="M53" s="43"/>
    </row>
    <row r="54" spans="1:13" ht="12.75">
      <c r="A54" s="43" t="s">
        <v>694</v>
      </c>
      <c r="B54" s="43" t="s">
        <v>695</v>
      </c>
      <c r="C54" s="43" t="s">
        <v>696</v>
      </c>
      <c r="D54" s="43" t="str">
        <f>"0,6920"</f>
        <v>0,6920</v>
      </c>
      <c r="E54" s="43" t="s">
        <v>315</v>
      </c>
      <c r="F54" s="43" t="s">
        <v>316</v>
      </c>
      <c r="G54" s="43" t="s">
        <v>68</v>
      </c>
      <c r="H54" s="43" t="s">
        <v>47</v>
      </c>
      <c r="I54" s="43" t="s">
        <v>69</v>
      </c>
      <c r="J54" s="44"/>
      <c r="K54" s="43">
        <v>135</v>
      </c>
      <c r="L54" s="43" t="str">
        <f>"93,4133"</f>
        <v>93,4133</v>
      </c>
      <c r="M54" s="43"/>
    </row>
    <row r="55" spans="1:13" ht="12.75">
      <c r="A55" s="43" t="s">
        <v>697</v>
      </c>
      <c r="B55" s="43" t="s">
        <v>698</v>
      </c>
      <c r="C55" s="43" t="s">
        <v>699</v>
      </c>
      <c r="D55" s="43" t="str">
        <f>"0,6913"</f>
        <v>0,6913</v>
      </c>
      <c r="E55" s="43" t="s">
        <v>466</v>
      </c>
      <c r="F55" s="43" t="s">
        <v>101</v>
      </c>
      <c r="G55" s="43" t="s">
        <v>190</v>
      </c>
      <c r="H55" s="43" t="s">
        <v>69</v>
      </c>
      <c r="I55" s="44" t="s">
        <v>36</v>
      </c>
      <c r="J55" s="44"/>
      <c r="K55" s="43">
        <v>135</v>
      </c>
      <c r="L55" s="43" t="str">
        <f>"93,3188"</f>
        <v>93,3188</v>
      </c>
      <c r="M55" s="43"/>
    </row>
    <row r="56" spans="1:13" ht="12.75">
      <c r="A56" s="43" t="s">
        <v>700</v>
      </c>
      <c r="B56" s="43" t="s">
        <v>701</v>
      </c>
      <c r="C56" s="43" t="s">
        <v>702</v>
      </c>
      <c r="D56" s="43" t="str">
        <f>"0,7056"</f>
        <v>0,7056</v>
      </c>
      <c r="E56" s="43" t="s">
        <v>17</v>
      </c>
      <c r="F56" s="43" t="s">
        <v>101</v>
      </c>
      <c r="G56" s="43" t="s">
        <v>174</v>
      </c>
      <c r="H56" s="43" t="s">
        <v>294</v>
      </c>
      <c r="I56" s="44" t="s">
        <v>69</v>
      </c>
      <c r="J56" s="44"/>
      <c r="K56" s="43">
        <v>127.5</v>
      </c>
      <c r="L56" s="43" t="str">
        <f>"89,9704"</f>
        <v>89,9704</v>
      </c>
      <c r="M56" s="43"/>
    </row>
    <row r="57" spans="1:13" ht="12.75">
      <c r="A57" s="43" t="s">
        <v>703</v>
      </c>
      <c r="B57" s="43" t="s">
        <v>704</v>
      </c>
      <c r="C57" s="43" t="s">
        <v>691</v>
      </c>
      <c r="D57" s="43" t="str">
        <f>"0,7086"</f>
        <v>0,7086</v>
      </c>
      <c r="E57" s="43" t="s">
        <v>17</v>
      </c>
      <c r="F57" s="43" t="s">
        <v>365</v>
      </c>
      <c r="G57" s="43" t="s">
        <v>26</v>
      </c>
      <c r="H57" s="43" t="s">
        <v>168</v>
      </c>
      <c r="I57" s="44" t="s">
        <v>504</v>
      </c>
      <c r="J57" s="44"/>
      <c r="K57" s="43">
        <v>112.5</v>
      </c>
      <c r="L57" s="43" t="str">
        <f>"79,7231"</f>
        <v>79,7231</v>
      </c>
      <c r="M57" s="43" t="s">
        <v>705</v>
      </c>
    </row>
    <row r="58" spans="1:13" ht="12.75">
      <c r="A58" s="41" t="s">
        <v>706</v>
      </c>
      <c r="B58" s="41" t="s">
        <v>707</v>
      </c>
      <c r="C58" s="41" t="s">
        <v>708</v>
      </c>
      <c r="D58" s="41" t="str">
        <f>"0,6969"</f>
        <v>0,6969</v>
      </c>
      <c r="E58" s="41" t="s">
        <v>17</v>
      </c>
      <c r="F58" s="41" t="s">
        <v>101</v>
      </c>
      <c r="G58" s="42" t="s">
        <v>87</v>
      </c>
      <c r="H58" s="42" t="s">
        <v>504</v>
      </c>
      <c r="I58" s="42" t="s">
        <v>504</v>
      </c>
      <c r="J58" s="42"/>
      <c r="K58" s="41">
        <v>0</v>
      </c>
      <c r="L58" s="41" t="str">
        <f>"0,0000"</f>
        <v>0,0000</v>
      </c>
      <c r="M58" s="41"/>
    </row>
    <row r="60" spans="1:12" ht="15">
      <c r="A60" s="54" t="s">
        <v>28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3" ht="12.75">
      <c r="A61" s="39" t="s">
        <v>709</v>
      </c>
      <c r="B61" s="39" t="s">
        <v>710</v>
      </c>
      <c r="C61" s="39" t="s">
        <v>711</v>
      </c>
      <c r="D61" s="39" t="str">
        <f>"0,6497"</f>
        <v>0,6497</v>
      </c>
      <c r="E61" s="39" t="s">
        <v>17</v>
      </c>
      <c r="F61" s="39" t="s">
        <v>101</v>
      </c>
      <c r="G61" s="39" t="s">
        <v>49</v>
      </c>
      <c r="H61" s="39" t="s">
        <v>37</v>
      </c>
      <c r="I61" s="39" t="s">
        <v>19</v>
      </c>
      <c r="J61" s="40"/>
      <c r="K61" s="39">
        <v>160</v>
      </c>
      <c r="L61" s="39" t="str">
        <f>"103,9600"</f>
        <v>103,9600</v>
      </c>
      <c r="M61" s="39"/>
    </row>
    <row r="62" spans="1:13" ht="12.75">
      <c r="A62" s="43" t="s">
        <v>712</v>
      </c>
      <c r="B62" s="43" t="s">
        <v>713</v>
      </c>
      <c r="C62" s="43" t="s">
        <v>714</v>
      </c>
      <c r="D62" s="43" t="str">
        <f>"0,6578"</f>
        <v>0,6578</v>
      </c>
      <c r="E62" s="43" t="s">
        <v>17</v>
      </c>
      <c r="F62" s="43" t="s">
        <v>715</v>
      </c>
      <c r="G62" s="43" t="s">
        <v>69</v>
      </c>
      <c r="H62" s="44" t="s">
        <v>317</v>
      </c>
      <c r="I62" s="43" t="s">
        <v>317</v>
      </c>
      <c r="J62" s="44"/>
      <c r="K62" s="43">
        <v>145</v>
      </c>
      <c r="L62" s="43" t="str">
        <f>"95,3810"</f>
        <v>95,3810</v>
      </c>
      <c r="M62" s="43"/>
    </row>
    <row r="63" spans="1:13" ht="12.75">
      <c r="A63" s="43" t="s">
        <v>716</v>
      </c>
      <c r="B63" s="43" t="s">
        <v>717</v>
      </c>
      <c r="C63" s="43" t="s">
        <v>718</v>
      </c>
      <c r="D63" s="43" t="str">
        <f>"0,6471"</f>
        <v>0,6471</v>
      </c>
      <c r="E63" s="43" t="s">
        <v>17</v>
      </c>
      <c r="F63" s="43" t="s">
        <v>101</v>
      </c>
      <c r="G63" s="43" t="s">
        <v>36</v>
      </c>
      <c r="H63" s="43" t="s">
        <v>317</v>
      </c>
      <c r="I63" s="44" t="s">
        <v>195</v>
      </c>
      <c r="J63" s="44"/>
      <c r="K63" s="43">
        <v>145</v>
      </c>
      <c r="L63" s="43" t="str">
        <f>"93,8367"</f>
        <v>93,8367</v>
      </c>
      <c r="M63" s="43"/>
    </row>
    <row r="64" spans="1:13" ht="12.75">
      <c r="A64" s="43" t="s">
        <v>719</v>
      </c>
      <c r="B64" s="43" t="s">
        <v>720</v>
      </c>
      <c r="C64" s="43" t="s">
        <v>721</v>
      </c>
      <c r="D64" s="43" t="str">
        <f>"0,6503"</f>
        <v>0,6503</v>
      </c>
      <c r="E64" s="43" t="s">
        <v>17</v>
      </c>
      <c r="F64" s="43" t="s">
        <v>101</v>
      </c>
      <c r="G64" s="44" t="s">
        <v>36</v>
      </c>
      <c r="H64" s="44" t="s">
        <v>36</v>
      </c>
      <c r="I64" s="43" t="s">
        <v>36</v>
      </c>
      <c r="J64" s="44"/>
      <c r="K64" s="43">
        <v>140</v>
      </c>
      <c r="L64" s="43" t="str">
        <f>"91,0350"</f>
        <v>91,0350</v>
      </c>
      <c r="M64" s="43"/>
    </row>
    <row r="65" spans="1:13" ht="12.75">
      <c r="A65" s="43" t="s">
        <v>722</v>
      </c>
      <c r="B65" s="43" t="s">
        <v>723</v>
      </c>
      <c r="C65" s="43" t="s">
        <v>724</v>
      </c>
      <c r="D65" s="43" t="str">
        <f>"0,6524"</f>
        <v>0,6524</v>
      </c>
      <c r="E65" s="43" t="s">
        <v>17</v>
      </c>
      <c r="F65" s="43" t="s">
        <v>101</v>
      </c>
      <c r="G65" s="43" t="s">
        <v>259</v>
      </c>
      <c r="H65" s="44" t="s">
        <v>317</v>
      </c>
      <c r="I65" s="44" t="s">
        <v>317</v>
      </c>
      <c r="J65" s="44"/>
      <c r="K65" s="43">
        <v>137.5</v>
      </c>
      <c r="L65" s="43" t="str">
        <f>"89,6981"</f>
        <v>89,6981</v>
      </c>
      <c r="M65" s="43"/>
    </row>
    <row r="66" spans="1:13" ht="12.75">
      <c r="A66" s="43" t="s">
        <v>725</v>
      </c>
      <c r="B66" s="43" t="s">
        <v>726</v>
      </c>
      <c r="C66" s="43" t="s">
        <v>727</v>
      </c>
      <c r="D66" s="43" t="str">
        <f>"0,6557"</f>
        <v>0,6557</v>
      </c>
      <c r="E66" s="43" t="s">
        <v>17</v>
      </c>
      <c r="F66" s="43" t="s">
        <v>101</v>
      </c>
      <c r="G66" s="43" t="s">
        <v>69</v>
      </c>
      <c r="H66" s="44" t="s">
        <v>36</v>
      </c>
      <c r="I66" s="44" t="s">
        <v>36</v>
      </c>
      <c r="J66" s="44"/>
      <c r="K66" s="43">
        <v>135</v>
      </c>
      <c r="L66" s="43" t="str">
        <f>"88,5128"</f>
        <v>88,5128</v>
      </c>
      <c r="M66" s="43"/>
    </row>
    <row r="67" spans="1:13" ht="12.75">
      <c r="A67" s="43" t="s">
        <v>728</v>
      </c>
      <c r="B67" s="43" t="s">
        <v>729</v>
      </c>
      <c r="C67" s="43" t="s">
        <v>730</v>
      </c>
      <c r="D67" s="43" t="str">
        <f>"0,6550"</f>
        <v>0,6550</v>
      </c>
      <c r="E67" s="43" t="s">
        <v>17</v>
      </c>
      <c r="F67" s="43" t="s">
        <v>101</v>
      </c>
      <c r="G67" s="43" t="s">
        <v>294</v>
      </c>
      <c r="H67" s="43" t="s">
        <v>175</v>
      </c>
      <c r="I67" s="43" t="s">
        <v>69</v>
      </c>
      <c r="J67" s="44"/>
      <c r="K67" s="43">
        <v>135</v>
      </c>
      <c r="L67" s="43" t="str">
        <f>"88,4317"</f>
        <v>88,4317</v>
      </c>
      <c r="M67" s="43"/>
    </row>
    <row r="68" spans="1:13" ht="12.75">
      <c r="A68" s="43" t="s">
        <v>731</v>
      </c>
      <c r="B68" s="43" t="s">
        <v>732</v>
      </c>
      <c r="C68" s="43" t="s">
        <v>733</v>
      </c>
      <c r="D68" s="43" t="str">
        <f>"0,6518"</f>
        <v>0,6518</v>
      </c>
      <c r="E68" s="43" t="s">
        <v>17</v>
      </c>
      <c r="F68" s="43" t="s">
        <v>653</v>
      </c>
      <c r="G68" s="44" t="s">
        <v>190</v>
      </c>
      <c r="H68" s="43" t="s">
        <v>190</v>
      </c>
      <c r="I68" s="44" t="s">
        <v>294</v>
      </c>
      <c r="J68" s="44"/>
      <c r="K68" s="43">
        <v>122.5</v>
      </c>
      <c r="L68" s="43" t="str">
        <f>"79,8516"</f>
        <v>79,8516</v>
      </c>
      <c r="M68" s="43"/>
    </row>
    <row r="69" spans="1:13" ht="12.75">
      <c r="A69" s="43" t="s">
        <v>734</v>
      </c>
      <c r="B69" s="43" t="s">
        <v>735</v>
      </c>
      <c r="C69" s="43" t="s">
        <v>736</v>
      </c>
      <c r="D69" s="43" t="str">
        <f>"0,6529"</f>
        <v>0,6529</v>
      </c>
      <c r="E69" s="43" t="s">
        <v>17</v>
      </c>
      <c r="F69" s="43" t="s">
        <v>101</v>
      </c>
      <c r="G69" s="43" t="s">
        <v>174</v>
      </c>
      <c r="H69" s="44" t="s">
        <v>68</v>
      </c>
      <c r="I69" s="44" t="s">
        <v>294</v>
      </c>
      <c r="J69" s="44"/>
      <c r="K69" s="43">
        <v>120</v>
      </c>
      <c r="L69" s="43" t="str">
        <f>"78,3480"</f>
        <v>78,3480</v>
      </c>
      <c r="M69" s="43"/>
    </row>
    <row r="70" spans="1:13" ht="12.75">
      <c r="A70" s="43" t="s">
        <v>737</v>
      </c>
      <c r="B70" s="43" t="s">
        <v>738</v>
      </c>
      <c r="C70" s="43" t="s">
        <v>733</v>
      </c>
      <c r="D70" s="43" t="str">
        <f>"0,6518"</f>
        <v>0,6518</v>
      </c>
      <c r="E70" s="43" t="s">
        <v>17</v>
      </c>
      <c r="F70" s="43" t="s">
        <v>101</v>
      </c>
      <c r="G70" s="43" t="s">
        <v>174</v>
      </c>
      <c r="H70" s="44" t="s">
        <v>294</v>
      </c>
      <c r="I70" s="44" t="s">
        <v>294</v>
      </c>
      <c r="J70" s="44"/>
      <c r="K70" s="43">
        <v>120</v>
      </c>
      <c r="L70" s="43" t="str">
        <f>"78,2220"</f>
        <v>78,2220</v>
      </c>
      <c r="M70" s="43"/>
    </row>
    <row r="71" spans="1:13" ht="12.75">
      <c r="A71" s="43" t="s">
        <v>739</v>
      </c>
      <c r="B71" s="43" t="s">
        <v>740</v>
      </c>
      <c r="C71" s="43" t="s">
        <v>43</v>
      </c>
      <c r="D71" s="43" t="str">
        <f>"0,6771"</f>
        <v>0,6771</v>
      </c>
      <c r="E71" s="43" t="s">
        <v>17</v>
      </c>
      <c r="F71" s="43" t="s">
        <v>101</v>
      </c>
      <c r="G71" s="43" t="s">
        <v>67</v>
      </c>
      <c r="H71" s="43" t="s">
        <v>174</v>
      </c>
      <c r="I71" s="44" t="s">
        <v>68</v>
      </c>
      <c r="J71" s="44"/>
      <c r="K71" s="43">
        <v>120</v>
      </c>
      <c r="L71" s="43" t="str">
        <f>"81,2469"</f>
        <v>81,2469</v>
      </c>
      <c r="M71" s="43"/>
    </row>
    <row r="72" spans="1:13" ht="12.75">
      <c r="A72" s="41" t="s">
        <v>741</v>
      </c>
      <c r="B72" s="41" t="s">
        <v>742</v>
      </c>
      <c r="C72" s="41" t="s">
        <v>743</v>
      </c>
      <c r="D72" s="41" t="str">
        <f>"0,7644"</f>
        <v>0,7644</v>
      </c>
      <c r="E72" s="41" t="s">
        <v>17</v>
      </c>
      <c r="F72" s="41" t="s">
        <v>744</v>
      </c>
      <c r="G72" s="42" t="s">
        <v>167</v>
      </c>
      <c r="H72" s="41" t="s">
        <v>167</v>
      </c>
      <c r="I72" s="42" t="s">
        <v>174</v>
      </c>
      <c r="J72" s="42"/>
      <c r="K72" s="41">
        <v>107.5</v>
      </c>
      <c r="L72" s="41" t="str">
        <f>"82,1688"</f>
        <v>82,1688</v>
      </c>
      <c r="M72" s="41"/>
    </row>
    <row r="74" spans="1:12" ht="15">
      <c r="A74" s="54" t="s">
        <v>52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5" spans="1:13" ht="12.75">
      <c r="A75" s="39" t="s">
        <v>745</v>
      </c>
      <c r="B75" s="39" t="s">
        <v>746</v>
      </c>
      <c r="C75" s="39" t="s">
        <v>747</v>
      </c>
      <c r="D75" s="39" t="str">
        <f>"0,6122"</f>
        <v>0,6122</v>
      </c>
      <c r="E75" s="39" t="s">
        <v>17</v>
      </c>
      <c r="F75" s="39" t="s">
        <v>748</v>
      </c>
      <c r="G75" s="39" t="s">
        <v>175</v>
      </c>
      <c r="H75" s="39" t="s">
        <v>48</v>
      </c>
      <c r="I75" s="39" t="s">
        <v>516</v>
      </c>
      <c r="J75" s="40"/>
      <c r="K75" s="39">
        <v>152.5</v>
      </c>
      <c r="L75" s="39" t="str">
        <f>"93,3681"</f>
        <v>93,3681</v>
      </c>
      <c r="M75" s="39"/>
    </row>
    <row r="76" spans="1:13" ht="12.75">
      <c r="A76" s="43" t="s">
        <v>749</v>
      </c>
      <c r="B76" s="43" t="s">
        <v>750</v>
      </c>
      <c r="C76" s="43" t="s">
        <v>334</v>
      </c>
      <c r="D76" s="43" t="str">
        <f>"0,6119"</f>
        <v>0,6119</v>
      </c>
      <c r="E76" s="43" t="s">
        <v>17</v>
      </c>
      <c r="F76" s="43" t="s">
        <v>18</v>
      </c>
      <c r="G76" s="44" t="s">
        <v>504</v>
      </c>
      <c r="H76" s="43" t="s">
        <v>504</v>
      </c>
      <c r="I76" s="43" t="s">
        <v>294</v>
      </c>
      <c r="J76" s="44"/>
      <c r="K76" s="43">
        <v>127.5</v>
      </c>
      <c r="L76" s="43" t="str">
        <f>"78,0109"</f>
        <v>78,0109</v>
      </c>
      <c r="M76" s="43"/>
    </row>
    <row r="77" spans="1:13" ht="12.75">
      <c r="A77" s="43" t="s">
        <v>751</v>
      </c>
      <c r="B77" s="43" t="s">
        <v>752</v>
      </c>
      <c r="C77" s="43" t="s">
        <v>330</v>
      </c>
      <c r="D77" s="43" t="str">
        <f>"0,6169"</f>
        <v>0,6169</v>
      </c>
      <c r="E77" s="43" t="s">
        <v>17</v>
      </c>
      <c r="F77" s="43" t="s">
        <v>753</v>
      </c>
      <c r="G77" s="44" t="s">
        <v>36</v>
      </c>
      <c r="H77" s="43" t="s">
        <v>36</v>
      </c>
      <c r="I77" s="43" t="s">
        <v>317</v>
      </c>
      <c r="J77" s="44"/>
      <c r="K77" s="43">
        <v>145</v>
      </c>
      <c r="L77" s="43" t="str">
        <f>"89,4433"</f>
        <v>89,4433</v>
      </c>
      <c r="M77" s="43"/>
    </row>
    <row r="78" spans="1:13" ht="12.75">
      <c r="A78" s="43" t="s">
        <v>754</v>
      </c>
      <c r="B78" s="43" t="s">
        <v>755</v>
      </c>
      <c r="C78" s="43" t="s">
        <v>756</v>
      </c>
      <c r="D78" s="43" t="str">
        <f>"0,6130"</f>
        <v>0,6130</v>
      </c>
      <c r="E78" s="43" t="s">
        <v>17</v>
      </c>
      <c r="F78" s="43" t="s">
        <v>101</v>
      </c>
      <c r="G78" s="43" t="s">
        <v>259</v>
      </c>
      <c r="H78" s="43" t="s">
        <v>48</v>
      </c>
      <c r="I78" s="44" t="s">
        <v>317</v>
      </c>
      <c r="J78" s="44"/>
      <c r="K78" s="43">
        <v>142.5</v>
      </c>
      <c r="L78" s="43" t="str">
        <f>"87,3525"</f>
        <v>87,3525</v>
      </c>
      <c r="M78" s="43"/>
    </row>
    <row r="79" spans="1:13" ht="12.75">
      <c r="A79" s="43" t="s">
        <v>757</v>
      </c>
      <c r="B79" s="43" t="s">
        <v>758</v>
      </c>
      <c r="C79" s="43" t="s">
        <v>529</v>
      </c>
      <c r="D79" s="43" t="str">
        <f>"0,6173"</f>
        <v>0,6173</v>
      </c>
      <c r="E79" s="43" t="s">
        <v>17</v>
      </c>
      <c r="F79" s="43" t="s">
        <v>759</v>
      </c>
      <c r="G79" s="43" t="s">
        <v>175</v>
      </c>
      <c r="H79" s="43" t="s">
        <v>259</v>
      </c>
      <c r="I79" s="44" t="s">
        <v>36</v>
      </c>
      <c r="J79" s="44"/>
      <c r="K79" s="43">
        <v>137.5</v>
      </c>
      <c r="L79" s="43" t="str">
        <f>"84,8787"</f>
        <v>84,8787</v>
      </c>
      <c r="M79" s="43"/>
    </row>
    <row r="80" spans="1:13" ht="12.75">
      <c r="A80" s="43" t="s">
        <v>760</v>
      </c>
      <c r="B80" s="43" t="s">
        <v>761</v>
      </c>
      <c r="C80" s="43" t="s">
        <v>762</v>
      </c>
      <c r="D80" s="43" t="str">
        <f>"0,6188"</f>
        <v>0,6188</v>
      </c>
      <c r="E80" s="43" t="s">
        <v>17</v>
      </c>
      <c r="F80" s="43" t="s">
        <v>101</v>
      </c>
      <c r="G80" s="43" t="s">
        <v>68</v>
      </c>
      <c r="H80" s="43" t="s">
        <v>69</v>
      </c>
      <c r="I80" s="44" t="s">
        <v>317</v>
      </c>
      <c r="J80" s="44"/>
      <c r="K80" s="43">
        <v>135</v>
      </c>
      <c r="L80" s="43" t="str">
        <f>"83,5447"</f>
        <v>83,5447</v>
      </c>
      <c r="M80" s="43"/>
    </row>
    <row r="81" spans="1:13" ht="12.75">
      <c r="A81" s="43" t="s">
        <v>763</v>
      </c>
      <c r="B81" s="43" t="s">
        <v>764</v>
      </c>
      <c r="C81" s="43" t="s">
        <v>765</v>
      </c>
      <c r="D81" s="43" t="str">
        <f>"0,6217"</f>
        <v>0,6217</v>
      </c>
      <c r="E81" s="43" t="s">
        <v>17</v>
      </c>
      <c r="F81" s="43" t="s">
        <v>101</v>
      </c>
      <c r="G81" s="44" t="s">
        <v>175</v>
      </c>
      <c r="H81" s="43" t="s">
        <v>175</v>
      </c>
      <c r="I81" s="44" t="s">
        <v>516</v>
      </c>
      <c r="J81" s="44"/>
      <c r="K81" s="43">
        <v>132.5</v>
      </c>
      <c r="L81" s="43" t="str">
        <f>"82,3819"</f>
        <v>82,3819</v>
      </c>
      <c r="M81" s="43"/>
    </row>
    <row r="82" spans="1:13" ht="12.75">
      <c r="A82" s="43" t="s">
        <v>766</v>
      </c>
      <c r="B82" s="43" t="s">
        <v>767</v>
      </c>
      <c r="C82" s="43" t="s">
        <v>337</v>
      </c>
      <c r="D82" s="43" t="str">
        <f>"0,6184"</f>
        <v>0,6184</v>
      </c>
      <c r="E82" s="43" t="s">
        <v>17</v>
      </c>
      <c r="F82" s="43" t="s">
        <v>768</v>
      </c>
      <c r="G82" s="43" t="s">
        <v>174</v>
      </c>
      <c r="H82" s="43" t="s">
        <v>294</v>
      </c>
      <c r="I82" s="44" t="s">
        <v>175</v>
      </c>
      <c r="J82" s="44"/>
      <c r="K82" s="43">
        <v>127.5</v>
      </c>
      <c r="L82" s="43" t="str">
        <f>"78,8524"</f>
        <v>78,8524</v>
      </c>
      <c r="M82" s="43"/>
    </row>
    <row r="83" spans="1:13" ht="12.75">
      <c r="A83" s="43" t="s">
        <v>769</v>
      </c>
      <c r="B83" s="43" t="s">
        <v>770</v>
      </c>
      <c r="C83" s="43" t="s">
        <v>534</v>
      </c>
      <c r="D83" s="43" t="str">
        <f>"0,6192"</f>
        <v>0,6192</v>
      </c>
      <c r="E83" s="43" t="s">
        <v>17</v>
      </c>
      <c r="F83" s="43" t="s">
        <v>638</v>
      </c>
      <c r="G83" s="43" t="s">
        <v>87</v>
      </c>
      <c r="H83" s="44" t="s">
        <v>68</v>
      </c>
      <c r="I83" s="44" t="s">
        <v>68</v>
      </c>
      <c r="J83" s="44"/>
      <c r="K83" s="43">
        <v>115</v>
      </c>
      <c r="L83" s="43" t="str">
        <f>"71,2137"</f>
        <v>71,2137</v>
      </c>
      <c r="M83" s="43"/>
    </row>
    <row r="84" spans="1:13" ht="12.75">
      <c r="A84" s="43" t="s">
        <v>771</v>
      </c>
      <c r="B84" s="43" t="s">
        <v>772</v>
      </c>
      <c r="C84" s="43" t="s">
        <v>330</v>
      </c>
      <c r="D84" s="43" t="str">
        <f>"0,6169"</f>
        <v>0,6169</v>
      </c>
      <c r="E84" s="43" t="s">
        <v>17</v>
      </c>
      <c r="F84" s="43" t="s">
        <v>101</v>
      </c>
      <c r="G84" s="44" t="s">
        <v>516</v>
      </c>
      <c r="H84" s="44" t="s">
        <v>516</v>
      </c>
      <c r="I84" s="44" t="s">
        <v>516</v>
      </c>
      <c r="J84" s="44"/>
      <c r="K84" s="43">
        <v>0</v>
      </c>
      <c r="L84" s="43" t="str">
        <f>"0,0000"</f>
        <v>0,0000</v>
      </c>
      <c r="M84" s="43"/>
    </row>
    <row r="85" spans="1:13" ht="12.75">
      <c r="A85" s="43" t="s">
        <v>773</v>
      </c>
      <c r="B85" s="43" t="s">
        <v>774</v>
      </c>
      <c r="C85" s="43" t="s">
        <v>775</v>
      </c>
      <c r="D85" s="43" t="str">
        <f>"0,6145"</f>
        <v>0,6145</v>
      </c>
      <c r="E85" s="43" t="s">
        <v>17</v>
      </c>
      <c r="F85" s="43" t="s">
        <v>101</v>
      </c>
      <c r="G85" s="44" t="s">
        <v>68</v>
      </c>
      <c r="H85" s="44" t="s">
        <v>68</v>
      </c>
      <c r="I85" s="44" t="s">
        <v>68</v>
      </c>
      <c r="J85" s="44"/>
      <c r="K85" s="43">
        <v>0</v>
      </c>
      <c r="L85" s="43" t="str">
        <f>"0,0000"</f>
        <v>0,0000</v>
      </c>
      <c r="M85" s="43"/>
    </row>
    <row r="86" spans="1:13" ht="12.75">
      <c r="A86" s="43" t="s">
        <v>776</v>
      </c>
      <c r="B86" s="43" t="s">
        <v>777</v>
      </c>
      <c r="C86" s="43" t="s">
        <v>334</v>
      </c>
      <c r="D86" s="43" t="str">
        <f>"0,6620"</f>
        <v>0,6620</v>
      </c>
      <c r="E86" s="43" t="s">
        <v>85</v>
      </c>
      <c r="F86" s="43" t="s">
        <v>642</v>
      </c>
      <c r="G86" s="43" t="s">
        <v>38</v>
      </c>
      <c r="H86" s="43" t="s">
        <v>104</v>
      </c>
      <c r="I86" s="43" t="s">
        <v>20</v>
      </c>
      <c r="J86" s="44"/>
      <c r="K86" s="43">
        <v>180</v>
      </c>
      <c r="L86" s="43" t="str">
        <f>"119,1639"</f>
        <v>119,1639</v>
      </c>
      <c r="M86" s="43"/>
    </row>
    <row r="87" spans="1:13" ht="12.75">
      <c r="A87" s="41" t="s">
        <v>778</v>
      </c>
      <c r="B87" s="41" t="s">
        <v>779</v>
      </c>
      <c r="C87" s="41" t="s">
        <v>780</v>
      </c>
      <c r="D87" s="41" t="str">
        <f>"0,8056"</f>
        <v>0,8056</v>
      </c>
      <c r="E87" s="41" t="s">
        <v>17</v>
      </c>
      <c r="F87" s="41" t="s">
        <v>85</v>
      </c>
      <c r="G87" s="41" t="s">
        <v>317</v>
      </c>
      <c r="H87" s="42" t="s">
        <v>516</v>
      </c>
      <c r="I87" s="42" t="s">
        <v>516</v>
      </c>
      <c r="J87" s="42"/>
      <c r="K87" s="41">
        <v>145</v>
      </c>
      <c r="L87" s="41" t="str">
        <f>"116,8075"</f>
        <v>116,8075</v>
      </c>
      <c r="M87" s="41"/>
    </row>
    <row r="89" spans="1:12" ht="15">
      <c r="A89" s="54" t="s">
        <v>76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3" ht="12.75">
      <c r="A90" s="39" t="s">
        <v>781</v>
      </c>
      <c r="B90" s="39" t="s">
        <v>782</v>
      </c>
      <c r="C90" s="39" t="s">
        <v>783</v>
      </c>
      <c r="D90" s="39" t="str">
        <f>"0,5813"</f>
        <v>0,5813</v>
      </c>
      <c r="E90" s="39" t="s">
        <v>17</v>
      </c>
      <c r="F90" s="39" t="s">
        <v>101</v>
      </c>
      <c r="G90" s="40" t="s">
        <v>212</v>
      </c>
      <c r="H90" s="39" t="s">
        <v>222</v>
      </c>
      <c r="I90" s="40" t="s">
        <v>21</v>
      </c>
      <c r="J90" s="40"/>
      <c r="K90" s="39">
        <v>170</v>
      </c>
      <c r="L90" s="39" t="str">
        <f>"98,8210"</f>
        <v>98,8210</v>
      </c>
      <c r="M90" s="39"/>
    </row>
    <row r="91" spans="1:13" ht="12.75">
      <c r="A91" s="43" t="s">
        <v>784</v>
      </c>
      <c r="B91" s="43" t="s">
        <v>785</v>
      </c>
      <c r="C91" s="43" t="s">
        <v>786</v>
      </c>
      <c r="D91" s="43" t="str">
        <f>"0,5878"</f>
        <v>0,5878</v>
      </c>
      <c r="E91" s="43" t="s">
        <v>17</v>
      </c>
      <c r="F91" s="43" t="s">
        <v>101</v>
      </c>
      <c r="G91" s="43" t="s">
        <v>317</v>
      </c>
      <c r="H91" s="43" t="s">
        <v>49</v>
      </c>
      <c r="I91" s="44" t="s">
        <v>516</v>
      </c>
      <c r="J91" s="44"/>
      <c r="K91" s="43">
        <v>150</v>
      </c>
      <c r="L91" s="43" t="str">
        <f>"88,1625"</f>
        <v>88,1625</v>
      </c>
      <c r="M91" s="43"/>
    </row>
    <row r="92" spans="1:13" ht="12.75">
      <c r="A92" s="43" t="s">
        <v>787</v>
      </c>
      <c r="B92" s="43" t="s">
        <v>788</v>
      </c>
      <c r="C92" s="43" t="s">
        <v>550</v>
      </c>
      <c r="D92" s="43" t="str">
        <f>"0,5831"</f>
        <v>0,5831</v>
      </c>
      <c r="E92" s="43" t="s">
        <v>17</v>
      </c>
      <c r="F92" s="43" t="s">
        <v>101</v>
      </c>
      <c r="G92" s="43" t="s">
        <v>21</v>
      </c>
      <c r="H92" s="43" t="s">
        <v>198</v>
      </c>
      <c r="I92" s="44" t="s">
        <v>199</v>
      </c>
      <c r="J92" s="44"/>
      <c r="K92" s="43">
        <v>192.5</v>
      </c>
      <c r="L92" s="43" t="str">
        <f>"112,2371"</f>
        <v>112,2371</v>
      </c>
      <c r="M92" s="43"/>
    </row>
    <row r="93" spans="1:13" ht="12.75">
      <c r="A93" s="43" t="s">
        <v>789</v>
      </c>
      <c r="B93" s="43" t="s">
        <v>790</v>
      </c>
      <c r="C93" s="43" t="s">
        <v>791</v>
      </c>
      <c r="D93" s="43" t="str">
        <f>"0,5861"</f>
        <v>0,5861</v>
      </c>
      <c r="E93" s="43" t="s">
        <v>44</v>
      </c>
      <c r="F93" s="43" t="s">
        <v>45</v>
      </c>
      <c r="G93" s="43" t="s">
        <v>37</v>
      </c>
      <c r="H93" s="43" t="s">
        <v>38</v>
      </c>
      <c r="I93" s="43" t="s">
        <v>103</v>
      </c>
      <c r="J93" s="44"/>
      <c r="K93" s="43">
        <v>167.5</v>
      </c>
      <c r="L93" s="43" t="str">
        <f>"98,1801"</f>
        <v>98,1801</v>
      </c>
      <c r="M93" s="43"/>
    </row>
    <row r="94" spans="1:13" ht="12.75">
      <c r="A94" s="43" t="s">
        <v>792</v>
      </c>
      <c r="B94" s="43" t="s">
        <v>793</v>
      </c>
      <c r="C94" s="43" t="s">
        <v>794</v>
      </c>
      <c r="D94" s="43" t="str">
        <f>"0,6058"</f>
        <v>0,6058</v>
      </c>
      <c r="E94" s="43" t="s">
        <v>795</v>
      </c>
      <c r="F94" s="43" t="s">
        <v>101</v>
      </c>
      <c r="G94" s="43" t="s">
        <v>47</v>
      </c>
      <c r="H94" s="43" t="s">
        <v>36</v>
      </c>
      <c r="I94" s="44" t="s">
        <v>49</v>
      </c>
      <c r="J94" s="44"/>
      <c r="K94" s="43">
        <v>140</v>
      </c>
      <c r="L94" s="43" t="str">
        <f>"84,8050"</f>
        <v>84,8050</v>
      </c>
      <c r="M94" s="43"/>
    </row>
    <row r="95" spans="1:13" ht="12.75">
      <c r="A95" s="43" t="s">
        <v>796</v>
      </c>
      <c r="B95" s="43" t="s">
        <v>797</v>
      </c>
      <c r="C95" s="43" t="s">
        <v>798</v>
      </c>
      <c r="D95" s="43" t="str">
        <f>"0,5940"</f>
        <v>0,5940</v>
      </c>
      <c r="E95" s="43" t="s">
        <v>17</v>
      </c>
      <c r="F95" s="43" t="s">
        <v>101</v>
      </c>
      <c r="G95" s="43" t="s">
        <v>184</v>
      </c>
      <c r="H95" s="43" t="s">
        <v>19</v>
      </c>
      <c r="I95" s="43" t="s">
        <v>38</v>
      </c>
      <c r="J95" s="44"/>
      <c r="K95" s="43">
        <v>162.5</v>
      </c>
      <c r="L95" s="43" t="str">
        <f>"96,5250"</f>
        <v>96,5250</v>
      </c>
      <c r="M95" s="43"/>
    </row>
    <row r="96" spans="1:13" ht="12.75">
      <c r="A96" s="43" t="s">
        <v>799</v>
      </c>
      <c r="B96" s="43" t="s">
        <v>800</v>
      </c>
      <c r="C96" s="43" t="s">
        <v>801</v>
      </c>
      <c r="D96" s="43" t="str">
        <f>"0,6119"</f>
        <v>0,6119</v>
      </c>
      <c r="E96" s="43" t="s">
        <v>17</v>
      </c>
      <c r="F96" s="43" t="s">
        <v>101</v>
      </c>
      <c r="G96" s="43" t="s">
        <v>317</v>
      </c>
      <c r="H96" s="43" t="s">
        <v>37</v>
      </c>
      <c r="I96" s="44" t="s">
        <v>19</v>
      </c>
      <c r="J96" s="44"/>
      <c r="K96" s="43">
        <v>155</v>
      </c>
      <c r="L96" s="43" t="str">
        <f>"94,8408"</f>
        <v>94,8408</v>
      </c>
      <c r="M96" s="43"/>
    </row>
    <row r="97" spans="1:13" ht="12.75">
      <c r="A97" s="43" t="s">
        <v>802</v>
      </c>
      <c r="B97" s="43" t="s">
        <v>803</v>
      </c>
      <c r="C97" s="43" t="s">
        <v>804</v>
      </c>
      <c r="D97" s="43" t="str">
        <f>"0,6100"</f>
        <v>0,6100</v>
      </c>
      <c r="E97" s="43" t="s">
        <v>85</v>
      </c>
      <c r="F97" s="43" t="s">
        <v>744</v>
      </c>
      <c r="G97" s="43" t="s">
        <v>317</v>
      </c>
      <c r="H97" s="43" t="s">
        <v>49</v>
      </c>
      <c r="I97" s="44" t="s">
        <v>184</v>
      </c>
      <c r="J97" s="44"/>
      <c r="K97" s="43">
        <v>150</v>
      </c>
      <c r="L97" s="43" t="str">
        <f>"91,4940"</f>
        <v>91,4940</v>
      </c>
      <c r="M97" s="43"/>
    </row>
    <row r="98" spans="1:13" ht="12.75">
      <c r="A98" s="43" t="s">
        <v>805</v>
      </c>
      <c r="B98" s="43" t="s">
        <v>806</v>
      </c>
      <c r="C98" s="43" t="s">
        <v>801</v>
      </c>
      <c r="D98" s="43" t="str">
        <f>"0,5925"</f>
        <v>0,5925</v>
      </c>
      <c r="E98" s="43" t="s">
        <v>17</v>
      </c>
      <c r="F98" s="43" t="s">
        <v>101</v>
      </c>
      <c r="G98" s="43" t="s">
        <v>69</v>
      </c>
      <c r="H98" s="43" t="s">
        <v>317</v>
      </c>
      <c r="I98" s="44" t="s">
        <v>37</v>
      </c>
      <c r="J98" s="44"/>
      <c r="K98" s="43">
        <v>145</v>
      </c>
      <c r="L98" s="43" t="str">
        <f>"85,9149"</f>
        <v>85,9149</v>
      </c>
      <c r="M98" s="43"/>
    </row>
    <row r="99" spans="1:13" ht="12.75">
      <c r="A99" s="43" t="s">
        <v>807</v>
      </c>
      <c r="B99" s="43" t="s">
        <v>808</v>
      </c>
      <c r="C99" s="43" t="s">
        <v>351</v>
      </c>
      <c r="D99" s="43" t="str">
        <f>"0,6246"</f>
        <v>0,6246</v>
      </c>
      <c r="E99" s="43" t="s">
        <v>17</v>
      </c>
      <c r="F99" s="43" t="s">
        <v>638</v>
      </c>
      <c r="G99" s="43" t="s">
        <v>36</v>
      </c>
      <c r="H99" s="43" t="s">
        <v>49</v>
      </c>
      <c r="I99" s="43" t="s">
        <v>37</v>
      </c>
      <c r="J99" s="44"/>
      <c r="K99" s="43">
        <v>155</v>
      </c>
      <c r="L99" s="43" t="str">
        <f>"96,8078"</f>
        <v>96,8078</v>
      </c>
      <c r="M99" s="43"/>
    </row>
    <row r="100" spans="1:13" ht="12.75">
      <c r="A100" s="41" t="s">
        <v>552</v>
      </c>
      <c r="B100" s="41" t="s">
        <v>553</v>
      </c>
      <c r="C100" s="41" t="s">
        <v>554</v>
      </c>
      <c r="D100" s="41" t="str">
        <f>"0,8770"</f>
        <v>0,8770</v>
      </c>
      <c r="E100" s="41" t="s">
        <v>17</v>
      </c>
      <c r="F100" s="41" t="s">
        <v>555</v>
      </c>
      <c r="G100" s="41" t="s">
        <v>26</v>
      </c>
      <c r="H100" s="41" t="s">
        <v>67</v>
      </c>
      <c r="I100" s="42"/>
      <c r="J100" s="42"/>
      <c r="K100" s="41">
        <v>110</v>
      </c>
      <c r="L100" s="41" t="str">
        <f>"96,4671"</f>
        <v>96,4671</v>
      </c>
      <c r="M100" s="41"/>
    </row>
    <row r="102" spans="1:12" ht="15">
      <c r="A102" s="54" t="s">
        <v>88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3" ht="12.75">
      <c r="A103" s="39" t="s">
        <v>809</v>
      </c>
      <c r="B103" s="39" t="s">
        <v>810</v>
      </c>
      <c r="C103" s="39" t="s">
        <v>811</v>
      </c>
      <c r="D103" s="39" t="str">
        <f>"0,5681"</f>
        <v>0,5681</v>
      </c>
      <c r="E103" s="39" t="s">
        <v>17</v>
      </c>
      <c r="F103" s="39" t="s">
        <v>101</v>
      </c>
      <c r="G103" s="39" t="s">
        <v>49</v>
      </c>
      <c r="H103" s="40" t="s">
        <v>37</v>
      </c>
      <c r="I103" s="39" t="s">
        <v>37</v>
      </c>
      <c r="J103" s="40"/>
      <c r="K103" s="39">
        <v>155</v>
      </c>
      <c r="L103" s="39" t="str">
        <f>"88,0555"</f>
        <v>88,0555</v>
      </c>
      <c r="M103" s="39"/>
    </row>
    <row r="104" spans="1:13" ht="12.75">
      <c r="A104" s="43" t="s">
        <v>812</v>
      </c>
      <c r="B104" s="43" t="s">
        <v>813</v>
      </c>
      <c r="C104" s="43" t="s">
        <v>814</v>
      </c>
      <c r="D104" s="43" t="str">
        <f>"0,5735"</f>
        <v>0,5735</v>
      </c>
      <c r="E104" s="43" t="s">
        <v>17</v>
      </c>
      <c r="F104" s="43" t="s">
        <v>101</v>
      </c>
      <c r="G104" s="43" t="s">
        <v>36</v>
      </c>
      <c r="H104" s="43" t="s">
        <v>317</v>
      </c>
      <c r="I104" s="43" t="s">
        <v>49</v>
      </c>
      <c r="J104" s="44"/>
      <c r="K104" s="43">
        <v>150</v>
      </c>
      <c r="L104" s="43" t="str">
        <f>"86,0217"</f>
        <v>86,0217</v>
      </c>
      <c r="M104" s="43"/>
    </row>
    <row r="105" spans="1:13" ht="12.75">
      <c r="A105" s="41" t="s">
        <v>815</v>
      </c>
      <c r="B105" s="41" t="s">
        <v>816</v>
      </c>
      <c r="C105" s="41" t="s">
        <v>392</v>
      </c>
      <c r="D105" s="41" t="str">
        <f>"0,6057"</f>
        <v>0,6057</v>
      </c>
      <c r="E105" s="41" t="s">
        <v>17</v>
      </c>
      <c r="F105" s="41" t="s">
        <v>365</v>
      </c>
      <c r="G105" s="41" t="s">
        <v>222</v>
      </c>
      <c r="H105" s="41" t="s">
        <v>20</v>
      </c>
      <c r="I105" s="41" t="s">
        <v>21</v>
      </c>
      <c r="J105" s="42"/>
      <c r="K105" s="41">
        <v>185</v>
      </c>
      <c r="L105" s="41" t="str">
        <f>"112,0476"</f>
        <v>112,0476</v>
      </c>
      <c r="M105" s="41"/>
    </row>
    <row r="107" spans="1:12" ht="15">
      <c r="A107" s="54" t="s">
        <v>97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3" ht="12.75">
      <c r="A108" s="39" t="s">
        <v>817</v>
      </c>
      <c r="B108" s="39" t="s">
        <v>818</v>
      </c>
      <c r="C108" s="39" t="s">
        <v>819</v>
      </c>
      <c r="D108" s="39" t="str">
        <f>"0,5601"</f>
        <v>0,5601</v>
      </c>
      <c r="E108" s="39" t="s">
        <v>17</v>
      </c>
      <c r="F108" s="39" t="s">
        <v>101</v>
      </c>
      <c r="G108" s="39" t="s">
        <v>227</v>
      </c>
      <c r="H108" s="39" t="s">
        <v>66</v>
      </c>
      <c r="I108" s="40" t="s">
        <v>27</v>
      </c>
      <c r="J108" s="40"/>
      <c r="K108" s="39">
        <v>190</v>
      </c>
      <c r="L108" s="39" t="str">
        <f>"106,4095"</f>
        <v>106,4095</v>
      </c>
      <c r="M108" s="39"/>
    </row>
    <row r="109" spans="1:13" ht="12.75">
      <c r="A109" s="43" t="s">
        <v>820</v>
      </c>
      <c r="B109" s="43" t="s">
        <v>821</v>
      </c>
      <c r="C109" s="43" t="s">
        <v>822</v>
      </c>
      <c r="D109" s="43" t="str">
        <f>"0,5471"</f>
        <v>0,5471</v>
      </c>
      <c r="E109" s="43" t="s">
        <v>17</v>
      </c>
      <c r="F109" s="43" t="s">
        <v>331</v>
      </c>
      <c r="G109" s="43" t="s">
        <v>20</v>
      </c>
      <c r="H109" s="44" t="s">
        <v>339</v>
      </c>
      <c r="I109" s="44" t="s">
        <v>339</v>
      </c>
      <c r="J109" s="44"/>
      <c r="K109" s="43">
        <v>180</v>
      </c>
      <c r="L109" s="43" t="str">
        <f>"98,4780"</f>
        <v>98,4780</v>
      </c>
      <c r="M109" s="43"/>
    </row>
    <row r="110" spans="1:13" ht="12.75">
      <c r="A110" s="43" t="s">
        <v>823</v>
      </c>
      <c r="B110" s="43" t="s">
        <v>824</v>
      </c>
      <c r="C110" s="43" t="s">
        <v>825</v>
      </c>
      <c r="D110" s="43" t="str">
        <f>"0,5483"</f>
        <v>0,5483</v>
      </c>
      <c r="E110" s="43" t="s">
        <v>17</v>
      </c>
      <c r="F110" s="43" t="s">
        <v>396</v>
      </c>
      <c r="G110" s="43" t="s">
        <v>212</v>
      </c>
      <c r="H110" s="43" t="s">
        <v>227</v>
      </c>
      <c r="I110" s="43" t="s">
        <v>197</v>
      </c>
      <c r="J110" s="44"/>
      <c r="K110" s="43">
        <v>177.5</v>
      </c>
      <c r="L110" s="43" t="str">
        <f>"97,3233"</f>
        <v>97,3233</v>
      </c>
      <c r="M110" s="43"/>
    </row>
    <row r="111" spans="1:13" ht="12.75">
      <c r="A111" s="43" t="s">
        <v>826</v>
      </c>
      <c r="B111" s="43" t="s">
        <v>827</v>
      </c>
      <c r="C111" s="43" t="s">
        <v>828</v>
      </c>
      <c r="D111" s="43" t="str">
        <f>"0,5515"</f>
        <v>0,5515</v>
      </c>
      <c r="E111" s="43" t="s">
        <v>681</v>
      </c>
      <c r="F111" s="43" t="s">
        <v>101</v>
      </c>
      <c r="G111" s="43" t="s">
        <v>212</v>
      </c>
      <c r="H111" s="43" t="s">
        <v>104</v>
      </c>
      <c r="I111" s="44" t="s">
        <v>227</v>
      </c>
      <c r="J111" s="44"/>
      <c r="K111" s="43">
        <v>172.5</v>
      </c>
      <c r="L111" s="43" t="str">
        <f>"95,1424"</f>
        <v>95,1424</v>
      </c>
      <c r="M111" s="43"/>
    </row>
    <row r="112" spans="1:13" ht="12.75">
      <c r="A112" s="43" t="s">
        <v>820</v>
      </c>
      <c r="B112" s="43" t="s">
        <v>829</v>
      </c>
      <c r="C112" s="43" t="s">
        <v>822</v>
      </c>
      <c r="D112" s="43" t="str">
        <f>"0,5526"</f>
        <v>0,5526</v>
      </c>
      <c r="E112" s="43" t="s">
        <v>17</v>
      </c>
      <c r="F112" s="43" t="s">
        <v>331</v>
      </c>
      <c r="G112" s="43" t="s">
        <v>20</v>
      </c>
      <c r="H112" s="44" t="s">
        <v>339</v>
      </c>
      <c r="I112" s="44" t="s">
        <v>339</v>
      </c>
      <c r="J112" s="44"/>
      <c r="K112" s="43">
        <v>180</v>
      </c>
      <c r="L112" s="43" t="str">
        <f>"99,4628"</f>
        <v>99,4628</v>
      </c>
      <c r="M112" s="43"/>
    </row>
    <row r="113" spans="1:13" ht="12.75">
      <c r="A113" s="43" t="s">
        <v>830</v>
      </c>
      <c r="B113" s="43" t="s">
        <v>831</v>
      </c>
      <c r="C113" s="43" t="s">
        <v>832</v>
      </c>
      <c r="D113" s="43" t="str">
        <f>"0,5790"</f>
        <v>0,5790</v>
      </c>
      <c r="E113" s="43" t="s">
        <v>44</v>
      </c>
      <c r="F113" s="43" t="s">
        <v>45</v>
      </c>
      <c r="G113" s="43" t="s">
        <v>212</v>
      </c>
      <c r="H113" s="44" t="s">
        <v>222</v>
      </c>
      <c r="I113" s="44" t="s">
        <v>222</v>
      </c>
      <c r="J113" s="44"/>
      <c r="K113" s="43">
        <v>165</v>
      </c>
      <c r="L113" s="43" t="str">
        <f>"95,5299"</f>
        <v>95,5299</v>
      </c>
      <c r="M113" s="43"/>
    </row>
    <row r="114" spans="1:13" ht="12.75">
      <c r="A114" s="43" t="s">
        <v>833</v>
      </c>
      <c r="B114" s="43" t="s">
        <v>834</v>
      </c>
      <c r="C114" s="43" t="s">
        <v>835</v>
      </c>
      <c r="D114" s="43" t="str">
        <f>"0,6085"</f>
        <v>0,6085</v>
      </c>
      <c r="E114" s="43" t="s">
        <v>17</v>
      </c>
      <c r="F114" s="43" t="s">
        <v>101</v>
      </c>
      <c r="G114" s="43" t="s">
        <v>222</v>
      </c>
      <c r="H114" s="43" t="s">
        <v>104</v>
      </c>
      <c r="I114" s="43" t="s">
        <v>227</v>
      </c>
      <c r="J114" s="44"/>
      <c r="K114" s="43">
        <v>175</v>
      </c>
      <c r="L114" s="43" t="str">
        <f>"106,4885"</f>
        <v>106,4885</v>
      </c>
      <c r="M114" s="43"/>
    </row>
    <row r="115" spans="1:13" ht="12.75">
      <c r="A115" s="41" t="s">
        <v>412</v>
      </c>
      <c r="B115" s="41" t="s">
        <v>413</v>
      </c>
      <c r="C115" s="41" t="s">
        <v>414</v>
      </c>
      <c r="D115" s="41" t="str">
        <f>"0,7497"</f>
        <v>0,7497</v>
      </c>
      <c r="E115" s="41" t="s">
        <v>85</v>
      </c>
      <c r="F115" s="41" t="s">
        <v>415</v>
      </c>
      <c r="G115" s="42" t="s">
        <v>222</v>
      </c>
      <c r="H115" s="42" t="s">
        <v>222</v>
      </c>
      <c r="I115" s="42" t="s">
        <v>222</v>
      </c>
      <c r="J115" s="42"/>
      <c r="K115" s="41">
        <v>0</v>
      </c>
      <c r="L115" s="41" t="str">
        <f>"0,0000"</f>
        <v>0,0000</v>
      </c>
      <c r="M115" s="41" t="s">
        <v>416</v>
      </c>
    </row>
    <row r="117" spans="1:12" ht="15">
      <c r="A117" s="54" t="s">
        <v>107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</row>
    <row r="118" spans="1:13" ht="12.75">
      <c r="A118" s="37" t="s">
        <v>836</v>
      </c>
      <c r="B118" s="37" t="s">
        <v>837</v>
      </c>
      <c r="C118" s="37" t="s">
        <v>838</v>
      </c>
      <c r="D118" s="37" t="str">
        <f>"0,5386"</f>
        <v>0,5386</v>
      </c>
      <c r="E118" s="37" t="s">
        <v>17</v>
      </c>
      <c r="F118" s="37" t="s">
        <v>744</v>
      </c>
      <c r="G118" s="37" t="s">
        <v>227</v>
      </c>
      <c r="H118" s="37" t="s">
        <v>839</v>
      </c>
      <c r="I118" s="37" t="s">
        <v>339</v>
      </c>
      <c r="J118" s="38"/>
      <c r="K118" s="37">
        <v>187.5</v>
      </c>
      <c r="L118" s="37" t="str">
        <f>"100,9927"</f>
        <v>100,9927</v>
      </c>
      <c r="M118" s="37"/>
    </row>
    <row r="120" ht="15">
      <c r="E120" s="35" t="s">
        <v>113</v>
      </c>
    </row>
    <row r="121" ht="15">
      <c r="E121" s="35" t="s">
        <v>114</v>
      </c>
    </row>
    <row r="122" ht="15">
      <c r="E122" s="35" t="s">
        <v>115</v>
      </c>
    </row>
    <row r="123" ht="12.75">
      <c r="E123" s="34" t="s">
        <v>116</v>
      </c>
    </row>
    <row r="124" ht="12.75">
      <c r="E124" s="34" t="s">
        <v>117</v>
      </c>
    </row>
    <row r="125" ht="12.75">
      <c r="E125" s="34" t="s">
        <v>118</v>
      </c>
    </row>
    <row r="128" spans="1:2" ht="17.25">
      <c r="A128" s="36" t="s">
        <v>119</v>
      </c>
      <c r="B128" s="36"/>
    </row>
    <row r="129" spans="1:2" ht="15">
      <c r="A129" s="45" t="s">
        <v>231</v>
      </c>
      <c r="B129" s="45"/>
    </row>
    <row r="130" spans="1:2" ht="14.25">
      <c r="A130" s="47" t="s">
        <v>427</v>
      </c>
      <c r="B130" s="48"/>
    </row>
    <row r="131" spans="1:5" ht="13.5">
      <c r="A131" s="49" t="s">
        <v>0</v>
      </c>
      <c r="B131" s="49" t="s">
        <v>122</v>
      </c>
      <c r="C131" s="49" t="s">
        <v>123</v>
      </c>
      <c r="D131" s="49" t="s">
        <v>7</v>
      </c>
      <c r="E131" s="49" t="s">
        <v>124</v>
      </c>
    </row>
    <row r="132" spans="1:5" ht="12.75">
      <c r="A132" s="46" t="s">
        <v>635</v>
      </c>
      <c r="B132" s="34" t="s">
        <v>840</v>
      </c>
      <c r="C132" s="34" t="s">
        <v>232</v>
      </c>
      <c r="D132" s="34" t="s">
        <v>283</v>
      </c>
      <c r="E132" s="50" t="s">
        <v>841</v>
      </c>
    </row>
    <row r="134" spans="1:2" ht="14.25">
      <c r="A134" s="47" t="s">
        <v>121</v>
      </c>
      <c r="B134" s="48"/>
    </row>
    <row r="135" spans="1:5" ht="13.5">
      <c r="A135" s="49" t="s">
        <v>0</v>
      </c>
      <c r="B135" s="49" t="s">
        <v>122</v>
      </c>
      <c r="C135" s="49" t="s">
        <v>123</v>
      </c>
      <c r="D135" s="49" t="s">
        <v>7</v>
      </c>
      <c r="E135" s="49" t="s">
        <v>124</v>
      </c>
    </row>
    <row r="136" spans="1:5" ht="12.75">
      <c r="A136" s="46" t="s">
        <v>639</v>
      </c>
      <c r="B136" s="34" t="s">
        <v>125</v>
      </c>
      <c r="C136" s="34" t="s">
        <v>232</v>
      </c>
      <c r="D136" s="34" t="s">
        <v>188</v>
      </c>
      <c r="E136" s="50" t="s">
        <v>842</v>
      </c>
    </row>
    <row r="137" spans="1:5" ht="12.75">
      <c r="A137" s="46" t="s">
        <v>626</v>
      </c>
      <c r="B137" s="34" t="s">
        <v>125</v>
      </c>
      <c r="C137" s="34" t="s">
        <v>129</v>
      </c>
      <c r="D137" s="34" t="s">
        <v>304</v>
      </c>
      <c r="E137" s="50" t="s">
        <v>843</v>
      </c>
    </row>
    <row r="139" spans="1:2" ht="14.25">
      <c r="A139" s="47" t="s">
        <v>132</v>
      </c>
      <c r="B139" s="48"/>
    </row>
    <row r="140" spans="1:5" ht="13.5">
      <c r="A140" s="49" t="s">
        <v>0</v>
      </c>
      <c r="B140" s="49" t="s">
        <v>122</v>
      </c>
      <c r="C140" s="49" t="s">
        <v>123</v>
      </c>
      <c r="D140" s="49" t="s">
        <v>7</v>
      </c>
      <c r="E140" s="49" t="s">
        <v>124</v>
      </c>
    </row>
    <row r="141" spans="1:5" ht="12.75">
      <c r="A141" s="46" t="s">
        <v>643</v>
      </c>
      <c r="B141" s="34" t="s">
        <v>132</v>
      </c>
      <c r="C141" s="34" t="s">
        <v>232</v>
      </c>
      <c r="D141" s="34" t="s">
        <v>25</v>
      </c>
      <c r="E141" s="50" t="s">
        <v>844</v>
      </c>
    </row>
    <row r="142" spans="1:5" ht="12.75">
      <c r="A142" s="46" t="s">
        <v>610</v>
      </c>
      <c r="B142" s="34" t="s">
        <v>132</v>
      </c>
      <c r="C142" s="34" t="s">
        <v>566</v>
      </c>
      <c r="D142" s="34" t="s">
        <v>289</v>
      </c>
      <c r="E142" s="50" t="s">
        <v>845</v>
      </c>
    </row>
    <row r="143" spans="1:5" ht="12.75">
      <c r="A143" s="46" t="s">
        <v>620</v>
      </c>
      <c r="B143" s="34" t="s">
        <v>132</v>
      </c>
      <c r="C143" s="34" t="s">
        <v>240</v>
      </c>
      <c r="D143" s="34" t="s">
        <v>619</v>
      </c>
      <c r="E143" s="50" t="s">
        <v>846</v>
      </c>
    </row>
    <row r="144" spans="1:5" ht="12.75">
      <c r="A144" s="46" t="s">
        <v>616</v>
      </c>
      <c r="B144" s="34" t="s">
        <v>132</v>
      </c>
      <c r="C144" s="34" t="s">
        <v>240</v>
      </c>
      <c r="D144" s="34" t="s">
        <v>619</v>
      </c>
      <c r="E144" s="50" t="s">
        <v>846</v>
      </c>
    </row>
    <row r="145" spans="1:5" ht="12.75">
      <c r="A145" s="46" t="s">
        <v>650</v>
      </c>
      <c r="B145" s="34" t="s">
        <v>132</v>
      </c>
      <c r="C145" s="34" t="s">
        <v>235</v>
      </c>
      <c r="D145" s="34" t="s">
        <v>289</v>
      </c>
      <c r="E145" s="50" t="s">
        <v>847</v>
      </c>
    </row>
    <row r="146" spans="1:5" ht="12.75">
      <c r="A146" s="46" t="s">
        <v>613</v>
      </c>
      <c r="B146" s="34" t="s">
        <v>132</v>
      </c>
      <c r="C146" s="34" t="s">
        <v>422</v>
      </c>
      <c r="D146" s="34" t="s">
        <v>165</v>
      </c>
      <c r="E146" s="50" t="s">
        <v>848</v>
      </c>
    </row>
    <row r="147" spans="1:5" ht="12.75">
      <c r="A147" s="46" t="s">
        <v>622</v>
      </c>
      <c r="B147" s="34" t="s">
        <v>132</v>
      </c>
      <c r="C147" s="34" t="s">
        <v>240</v>
      </c>
      <c r="D147" s="34" t="s">
        <v>189</v>
      </c>
      <c r="E147" s="50" t="s">
        <v>849</v>
      </c>
    </row>
    <row r="148" spans="1:5" ht="12.75">
      <c r="A148" s="46" t="s">
        <v>654</v>
      </c>
      <c r="B148" s="34" t="s">
        <v>132</v>
      </c>
      <c r="C148" s="34" t="s">
        <v>235</v>
      </c>
      <c r="D148" s="34" t="s">
        <v>189</v>
      </c>
      <c r="E148" s="50" t="s">
        <v>850</v>
      </c>
    </row>
    <row r="149" spans="1:5" ht="12.75">
      <c r="A149" s="46" t="s">
        <v>631</v>
      </c>
      <c r="B149" s="34" t="s">
        <v>132</v>
      </c>
      <c r="C149" s="34" t="s">
        <v>129</v>
      </c>
      <c r="D149" s="34" t="s">
        <v>282</v>
      </c>
      <c r="E149" s="50" t="s">
        <v>851</v>
      </c>
    </row>
    <row r="151" spans="1:2" ht="14.25">
      <c r="A151" s="47" t="s">
        <v>152</v>
      </c>
      <c r="B151" s="48"/>
    </row>
    <row r="152" spans="1:5" ht="13.5">
      <c r="A152" s="49" t="s">
        <v>0</v>
      </c>
      <c r="B152" s="49" t="s">
        <v>122</v>
      </c>
      <c r="C152" s="49" t="s">
        <v>123</v>
      </c>
      <c r="D152" s="49" t="s">
        <v>7</v>
      </c>
      <c r="E152" s="49" t="s">
        <v>124</v>
      </c>
    </row>
    <row r="153" spans="1:5" ht="12.75">
      <c r="A153" s="46" t="s">
        <v>647</v>
      </c>
      <c r="B153" s="34" t="s">
        <v>155</v>
      </c>
      <c r="C153" s="34" t="s">
        <v>232</v>
      </c>
      <c r="D153" s="34" t="s">
        <v>290</v>
      </c>
      <c r="E153" s="50" t="s">
        <v>852</v>
      </c>
    </row>
    <row r="156" spans="1:2" ht="15">
      <c r="A156" s="45" t="s">
        <v>120</v>
      </c>
      <c r="B156" s="45"/>
    </row>
    <row r="157" spans="1:2" ht="14.25">
      <c r="A157" s="47" t="s">
        <v>427</v>
      </c>
      <c r="B157" s="48"/>
    </row>
    <row r="158" spans="1:5" ht="13.5">
      <c r="A158" s="49" t="s">
        <v>0</v>
      </c>
      <c r="B158" s="49" t="s">
        <v>122</v>
      </c>
      <c r="C158" s="49" t="s">
        <v>123</v>
      </c>
      <c r="D158" s="49" t="s">
        <v>7</v>
      </c>
      <c r="E158" s="49" t="s">
        <v>124</v>
      </c>
    </row>
    <row r="159" spans="1:5" ht="12.75">
      <c r="A159" s="46" t="s">
        <v>657</v>
      </c>
      <c r="B159" s="34" t="s">
        <v>428</v>
      </c>
      <c r="C159" s="34" t="s">
        <v>422</v>
      </c>
      <c r="D159" s="34" t="s">
        <v>165</v>
      </c>
      <c r="E159" s="50" t="s">
        <v>853</v>
      </c>
    </row>
    <row r="160" spans="1:5" ht="12.75">
      <c r="A160" s="46" t="s">
        <v>666</v>
      </c>
      <c r="B160" s="34" t="s">
        <v>428</v>
      </c>
      <c r="C160" s="34" t="s">
        <v>232</v>
      </c>
      <c r="D160" s="34" t="s">
        <v>183</v>
      </c>
      <c r="E160" s="50" t="s">
        <v>854</v>
      </c>
    </row>
    <row r="161" spans="1:5" ht="12.75">
      <c r="A161" s="46" t="s">
        <v>669</v>
      </c>
      <c r="B161" s="34" t="s">
        <v>428</v>
      </c>
      <c r="C161" s="34" t="s">
        <v>232</v>
      </c>
      <c r="D161" s="34" t="s">
        <v>304</v>
      </c>
      <c r="E161" s="50" t="s">
        <v>855</v>
      </c>
    </row>
    <row r="163" spans="1:2" ht="14.25">
      <c r="A163" s="47" t="s">
        <v>121</v>
      </c>
      <c r="B163" s="48"/>
    </row>
    <row r="164" spans="1:5" ht="13.5">
      <c r="A164" s="49" t="s">
        <v>0</v>
      </c>
      <c r="B164" s="49" t="s">
        <v>122</v>
      </c>
      <c r="C164" s="49" t="s">
        <v>123</v>
      </c>
      <c r="D164" s="49" t="s">
        <v>7</v>
      </c>
      <c r="E164" s="49" t="s">
        <v>124</v>
      </c>
    </row>
    <row r="165" spans="1:5" ht="12.75">
      <c r="A165" s="46" t="s">
        <v>781</v>
      </c>
      <c r="B165" s="34" t="s">
        <v>125</v>
      </c>
      <c r="C165" s="34" t="s">
        <v>149</v>
      </c>
      <c r="D165" s="34" t="s">
        <v>222</v>
      </c>
      <c r="E165" s="50" t="s">
        <v>856</v>
      </c>
    </row>
    <row r="166" spans="1:5" ht="12.75">
      <c r="A166" s="46" t="s">
        <v>745</v>
      </c>
      <c r="B166" s="34" t="s">
        <v>125</v>
      </c>
      <c r="C166" s="34" t="s">
        <v>126</v>
      </c>
      <c r="D166" s="34" t="s">
        <v>516</v>
      </c>
      <c r="E166" s="50" t="s">
        <v>857</v>
      </c>
    </row>
    <row r="167" spans="1:5" ht="12.75">
      <c r="A167" s="46" t="s">
        <v>784</v>
      </c>
      <c r="B167" s="34" t="s">
        <v>125</v>
      </c>
      <c r="C167" s="34" t="s">
        <v>149</v>
      </c>
      <c r="D167" s="34" t="s">
        <v>49</v>
      </c>
      <c r="E167" s="50" t="s">
        <v>858</v>
      </c>
    </row>
    <row r="168" spans="1:5" ht="12.75">
      <c r="A168" s="46" t="s">
        <v>686</v>
      </c>
      <c r="B168" s="34" t="s">
        <v>125</v>
      </c>
      <c r="C168" s="34" t="s">
        <v>235</v>
      </c>
      <c r="D168" s="34" t="s">
        <v>174</v>
      </c>
      <c r="E168" s="50" t="s">
        <v>859</v>
      </c>
    </row>
    <row r="169" spans="1:5" ht="12.75">
      <c r="A169" s="46" t="s">
        <v>749</v>
      </c>
      <c r="B169" s="34" t="s">
        <v>125</v>
      </c>
      <c r="C169" s="34" t="s">
        <v>126</v>
      </c>
      <c r="D169" s="34" t="s">
        <v>294</v>
      </c>
      <c r="E169" s="50" t="s">
        <v>860</v>
      </c>
    </row>
    <row r="171" spans="1:2" ht="14.25">
      <c r="A171" s="47" t="s">
        <v>132</v>
      </c>
      <c r="B171" s="48"/>
    </row>
    <row r="172" spans="1:5" ht="13.5">
      <c r="A172" s="49" t="s">
        <v>0</v>
      </c>
      <c r="B172" s="49" t="s">
        <v>122</v>
      </c>
      <c r="C172" s="49" t="s">
        <v>123</v>
      </c>
      <c r="D172" s="49" t="s">
        <v>7</v>
      </c>
      <c r="E172" s="49" t="s">
        <v>124</v>
      </c>
    </row>
    <row r="173" spans="1:5" ht="12.75">
      <c r="A173" s="46" t="s">
        <v>787</v>
      </c>
      <c r="B173" s="34" t="s">
        <v>132</v>
      </c>
      <c r="C173" s="34" t="s">
        <v>149</v>
      </c>
      <c r="D173" s="34" t="s">
        <v>198</v>
      </c>
      <c r="E173" s="50" t="s">
        <v>861</v>
      </c>
    </row>
    <row r="174" spans="1:5" ht="12.75">
      <c r="A174" s="46" t="s">
        <v>660</v>
      </c>
      <c r="B174" s="34" t="s">
        <v>132</v>
      </c>
      <c r="C174" s="34" t="s">
        <v>129</v>
      </c>
      <c r="D174" s="34" t="s">
        <v>47</v>
      </c>
      <c r="E174" s="50" t="s">
        <v>862</v>
      </c>
    </row>
    <row r="175" spans="1:5" ht="12.75">
      <c r="A175" s="46" t="s">
        <v>672</v>
      </c>
      <c r="B175" s="34" t="s">
        <v>132</v>
      </c>
      <c r="C175" s="34" t="s">
        <v>232</v>
      </c>
      <c r="D175" s="34" t="s">
        <v>48</v>
      </c>
      <c r="E175" s="50" t="s">
        <v>863</v>
      </c>
    </row>
    <row r="176" spans="1:5" ht="12.75">
      <c r="A176" s="46" t="s">
        <v>817</v>
      </c>
      <c r="B176" s="34" t="s">
        <v>132</v>
      </c>
      <c r="C176" s="34" t="s">
        <v>142</v>
      </c>
      <c r="D176" s="34" t="s">
        <v>66</v>
      </c>
      <c r="E176" s="50" t="s">
        <v>864</v>
      </c>
    </row>
    <row r="177" spans="1:5" ht="12.75">
      <c r="A177" s="46" t="s">
        <v>709</v>
      </c>
      <c r="B177" s="34" t="s">
        <v>132</v>
      </c>
      <c r="C177" s="34" t="s">
        <v>139</v>
      </c>
      <c r="D177" s="34" t="s">
        <v>19</v>
      </c>
      <c r="E177" s="50" t="s">
        <v>865</v>
      </c>
    </row>
    <row r="178" spans="1:5" ht="12.75">
      <c r="A178" s="46" t="s">
        <v>820</v>
      </c>
      <c r="B178" s="34" t="s">
        <v>132</v>
      </c>
      <c r="C178" s="34" t="s">
        <v>142</v>
      </c>
      <c r="D178" s="34" t="s">
        <v>20</v>
      </c>
      <c r="E178" s="50" t="s">
        <v>866</v>
      </c>
    </row>
    <row r="179" spans="1:5" ht="12.75">
      <c r="A179" s="46" t="s">
        <v>789</v>
      </c>
      <c r="B179" s="34" t="s">
        <v>132</v>
      </c>
      <c r="C179" s="34" t="s">
        <v>149</v>
      </c>
      <c r="D179" s="34" t="s">
        <v>103</v>
      </c>
      <c r="E179" s="50" t="s">
        <v>867</v>
      </c>
    </row>
    <row r="180" spans="1:5" ht="12.75">
      <c r="A180" s="46" t="s">
        <v>675</v>
      </c>
      <c r="B180" s="34" t="s">
        <v>132</v>
      </c>
      <c r="C180" s="34" t="s">
        <v>232</v>
      </c>
      <c r="D180" s="34" t="s">
        <v>47</v>
      </c>
      <c r="E180" s="50" t="s">
        <v>868</v>
      </c>
    </row>
    <row r="181" spans="1:5" ht="12.75">
      <c r="A181" s="46" t="s">
        <v>663</v>
      </c>
      <c r="B181" s="34" t="s">
        <v>132</v>
      </c>
      <c r="C181" s="34" t="s">
        <v>129</v>
      </c>
      <c r="D181" s="34" t="s">
        <v>504</v>
      </c>
      <c r="E181" s="50" t="s">
        <v>869</v>
      </c>
    </row>
    <row r="182" spans="1:5" ht="12.75">
      <c r="A182" s="46" t="s">
        <v>689</v>
      </c>
      <c r="B182" s="34" t="s">
        <v>132</v>
      </c>
      <c r="C182" s="34" t="s">
        <v>235</v>
      </c>
      <c r="D182" s="34" t="s">
        <v>259</v>
      </c>
      <c r="E182" s="50" t="s">
        <v>870</v>
      </c>
    </row>
    <row r="183" spans="1:5" ht="12.75">
      <c r="A183" s="46" t="s">
        <v>823</v>
      </c>
      <c r="B183" s="34" t="s">
        <v>132</v>
      </c>
      <c r="C183" s="34" t="s">
        <v>142</v>
      </c>
      <c r="D183" s="34" t="s">
        <v>197</v>
      </c>
      <c r="E183" s="50" t="s">
        <v>871</v>
      </c>
    </row>
    <row r="184" spans="1:5" ht="12.75">
      <c r="A184" s="46" t="s">
        <v>712</v>
      </c>
      <c r="B184" s="34" t="s">
        <v>132</v>
      </c>
      <c r="C184" s="34" t="s">
        <v>139</v>
      </c>
      <c r="D184" s="34" t="s">
        <v>317</v>
      </c>
      <c r="E184" s="50" t="s">
        <v>872</v>
      </c>
    </row>
    <row r="185" spans="1:5" ht="12.75">
      <c r="A185" s="46" t="s">
        <v>826</v>
      </c>
      <c r="B185" s="34" t="s">
        <v>132</v>
      </c>
      <c r="C185" s="34" t="s">
        <v>142</v>
      </c>
      <c r="D185" s="34" t="s">
        <v>104</v>
      </c>
      <c r="E185" s="50" t="s">
        <v>873</v>
      </c>
    </row>
    <row r="186" spans="1:5" ht="12.75">
      <c r="A186" s="46" t="s">
        <v>692</v>
      </c>
      <c r="B186" s="34" t="s">
        <v>132</v>
      </c>
      <c r="C186" s="34" t="s">
        <v>235</v>
      </c>
      <c r="D186" s="34" t="s">
        <v>69</v>
      </c>
      <c r="E186" s="50" t="s">
        <v>443</v>
      </c>
    </row>
    <row r="187" spans="1:5" ht="12.75">
      <c r="A187" s="46" t="s">
        <v>716</v>
      </c>
      <c r="B187" s="34" t="s">
        <v>132</v>
      </c>
      <c r="C187" s="34" t="s">
        <v>139</v>
      </c>
      <c r="D187" s="34" t="s">
        <v>317</v>
      </c>
      <c r="E187" s="50" t="s">
        <v>874</v>
      </c>
    </row>
    <row r="188" spans="1:5" ht="12.75">
      <c r="A188" s="46" t="s">
        <v>694</v>
      </c>
      <c r="B188" s="34" t="s">
        <v>132</v>
      </c>
      <c r="C188" s="34" t="s">
        <v>235</v>
      </c>
      <c r="D188" s="34" t="s">
        <v>69</v>
      </c>
      <c r="E188" s="50" t="s">
        <v>875</v>
      </c>
    </row>
    <row r="189" spans="1:5" ht="12.75">
      <c r="A189" s="46" t="s">
        <v>697</v>
      </c>
      <c r="B189" s="34" t="s">
        <v>132</v>
      </c>
      <c r="C189" s="34" t="s">
        <v>235</v>
      </c>
      <c r="D189" s="34" t="s">
        <v>69</v>
      </c>
      <c r="E189" s="50" t="s">
        <v>876</v>
      </c>
    </row>
    <row r="190" spans="1:5" ht="12.75">
      <c r="A190" s="46" t="s">
        <v>719</v>
      </c>
      <c r="B190" s="34" t="s">
        <v>132</v>
      </c>
      <c r="C190" s="34" t="s">
        <v>139</v>
      </c>
      <c r="D190" s="34" t="s">
        <v>36</v>
      </c>
      <c r="E190" s="50" t="s">
        <v>877</v>
      </c>
    </row>
    <row r="191" spans="1:5" ht="12.75">
      <c r="A191" s="46" t="s">
        <v>700</v>
      </c>
      <c r="B191" s="34" t="s">
        <v>132</v>
      </c>
      <c r="C191" s="34" t="s">
        <v>235</v>
      </c>
      <c r="D191" s="34" t="s">
        <v>294</v>
      </c>
      <c r="E191" s="50" t="s">
        <v>878</v>
      </c>
    </row>
    <row r="192" spans="1:5" ht="12.75">
      <c r="A192" s="46" t="s">
        <v>722</v>
      </c>
      <c r="B192" s="34" t="s">
        <v>132</v>
      </c>
      <c r="C192" s="34" t="s">
        <v>139</v>
      </c>
      <c r="D192" s="34" t="s">
        <v>259</v>
      </c>
      <c r="E192" s="50" t="s">
        <v>879</v>
      </c>
    </row>
    <row r="193" spans="1:5" ht="12.75">
      <c r="A193" s="46" t="s">
        <v>751</v>
      </c>
      <c r="B193" s="34" t="s">
        <v>132</v>
      </c>
      <c r="C193" s="34" t="s">
        <v>126</v>
      </c>
      <c r="D193" s="34" t="s">
        <v>317</v>
      </c>
      <c r="E193" s="50" t="s">
        <v>880</v>
      </c>
    </row>
    <row r="194" spans="1:5" ht="12.75">
      <c r="A194" s="46" t="s">
        <v>725</v>
      </c>
      <c r="B194" s="34" t="s">
        <v>132</v>
      </c>
      <c r="C194" s="34" t="s">
        <v>139</v>
      </c>
      <c r="D194" s="34" t="s">
        <v>69</v>
      </c>
      <c r="E194" s="50" t="s">
        <v>881</v>
      </c>
    </row>
    <row r="195" spans="1:5" ht="12.75">
      <c r="A195" s="46" t="s">
        <v>728</v>
      </c>
      <c r="B195" s="34" t="s">
        <v>132</v>
      </c>
      <c r="C195" s="34" t="s">
        <v>139</v>
      </c>
      <c r="D195" s="34" t="s">
        <v>69</v>
      </c>
      <c r="E195" s="50" t="s">
        <v>882</v>
      </c>
    </row>
    <row r="196" spans="1:5" ht="12.75">
      <c r="A196" s="46" t="s">
        <v>809</v>
      </c>
      <c r="B196" s="34" t="s">
        <v>132</v>
      </c>
      <c r="C196" s="34" t="s">
        <v>133</v>
      </c>
      <c r="D196" s="34" t="s">
        <v>37</v>
      </c>
      <c r="E196" s="50" t="s">
        <v>883</v>
      </c>
    </row>
    <row r="198" spans="1:2" ht="14.25">
      <c r="A198" s="47" t="s">
        <v>152</v>
      </c>
      <c r="B198" s="48"/>
    </row>
    <row r="199" spans="1:5" ht="13.5">
      <c r="A199" s="49" t="s">
        <v>0</v>
      </c>
      <c r="B199" s="49" t="s">
        <v>122</v>
      </c>
      <c r="C199" s="49" t="s">
        <v>123</v>
      </c>
      <c r="D199" s="49" t="s">
        <v>7</v>
      </c>
      <c r="E199" s="49" t="s">
        <v>124</v>
      </c>
    </row>
    <row r="200" spans="1:5" ht="12.75">
      <c r="A200" s="46" t="s">
        <v>776</v>
      </c>
      <c r="B200" s="34" t="s">
        <v>155</v>
      </c>
      <c r="C200" s="34" t="s">
        <v>126</v>
      </c>
      <c r="D200" s="34" t="s">
        <v>20</v>
      </c>
      <c r="E200" s="50" t="s">
        <v>884</v>
      </c>
    </row>
    <row r="201" spans="1:5" ht="12.75">
      <c r="A201" s="46" t="s">
        <v>778</v>
      </c>
      <c r="B201" s="34" t="s">
        <v>270</v>
      </c>
      <c r="C201" s="34" t="s">
        <v>126</v>
      </c>
      <c r="D201" s="34" t="s">
        <v>317</v>
      </c>
      <c r="E201" s="50" t="s">
        <v>885</v>
      </c>
    </row>
    <row r="202" spans="1:5" ht="12.75">
      <c r="A202" s="46" t="s">
        <v>815</v>
      </c>
      <c r="B202" s="34" t="s">
        <v>155</v>
      </c>
      <c r="C202" s="34" t="s">
        <v>133</v>
      </c>
      <c r="D202" s="34" t="s">
        <v>21</v>
      </c>
      <c r="E202" s="50" t="s">
        <v>886</v>
      </c>
    </row>
    <row r="203" spans="1:5" ht="12.75">
      <c r="A203" s="46" t="s">
        <v>833</v>
      </c>
      <c r="B203" s="34" t="s">
        <v>155</v>
      </c>
      <c r="C203" s="34" t="s">
        <v>142</v>
      </c>
      <c r="D203" s="34" t="s">
        <v>227</v>
      </c>
      <c r="E203" s="50" t="s">
        <v>887</v>
      </c>
    </row>
    <row r="204" spans="1:5" ht="12.75">
      <c r="A204" s="46" t="s">
        <v>836</v>
      </c>
      <c r="B204" s="34" t="s">
        <v>153</v>
      </c>
      <c r="C204" s="34" t="s">
        <v>136</v>
      </c>
      <c r="D204" s="34" t="s">
        <v>339</v>
      </c>
      <c r="E204" s="50" t="s">
        <v>888</v>
      </c>
    </row>
    <row r="205" spans="1:5" ht="12.75">
      <c r="A205" s="46" t="s">
        <v>820</v>
      </c>
      <c r="B205" s="34" t="s">
        <v>153</v>
      </c>
      <c r="C205" s="34" t="s">
        <v>142</v>
      </c>
      <c r="D205" s="34" t="s">
        <v>20</v>
      </c>
      <c r="E205" s="50" t="s">
        <v>889</v>
      </c>
    </row>
    <row r="206" spans="1:5" ht="12.75">
      <c r="A206" s="46" t="s">
        <v>807</v>
      </c>
      <c r="B206" s="34" t="s">
        <v>155</v>
      </c>
      <c r="C206" s="34" t="s">
        <v>149</v>
      </c>
      <c r="D206" s="34" t="s">
        <v>37</v>
      </c>
      <c r="E206" s="50" t="s">
        <v>890</v>
      </c>
    </row>
    <row r="207" spans="1:5" ht="12.75">
      <c r="A207" s="46" t="s">
        <v>796</v>
      </c>
      <c r="B207" s="34" t="s">
        <v>153</v>
      </c>
      <c r="C207" s="34" t="s">
        <v>149</v>
      </c>
      <c r="D207" s="34" t="s">
        <v>38</v>
      </c>
      <c r="E207" s="50" t="s">
        <v>891</v>
      </c>
    </row>
    <row r="208" spans="1:5" ht="12.75">
      <c r="A208" s="46" t="s">
        <v>552</v>
      </c>
      <c r="B208" s="34" t="s">
        <v>598</v>
      </c>
      <c r="C208" s="34" t="s">
        <v>149</v>
      </c>
      <c r="D208" s="34" t="s">
        <v>67</v>
      </c>
      <c r="E208" s="50" t="s">
        <v>892</v>
      </c>
    </row>
    <row r="209" spans="1:5" ht="12.75">
      <c r="A209" s="46" t="s">
        <v>830</v>
      </c>
      <c r="B209" s="34" t="s">
        <v>153</v>
      </c>
      <c r="C209" s="34" t="s">
        <v>142</v>
      </c>
      <c r="D209" s="34" t="s">
        <v>212</v>
      </c>
      <c r="E209" s="50" t="s">
        <v>893</v>
      </c>
    </row>
    <row r="210" spans="1:5" ht="12.75">
      <c r="A210" s="46" t="s">
        <v>799</v>
      </c>
      <c r="B210" s="34" t="s">
        <v>153</v>
      </c>
      <c r="C210" s="34" t="s">
        <v>149</v>
      </c>
      <c r="D210" s="34" t="s">
        <v>37</v>
      </c>
      <c r="E210" s="50" t="s">
        <v>894</v>
      </c>
    </row>
    <row r="211" spans="1:5" ht="12.75">
      <c r="A211" s="46" t="s">
        <v>802</v>
      </c>
      <c r="B211" s="34" t="s">
        <v>153</v>
      </c>
      <c r="C211" s="34" t="s">
        <v>149</v>
      </c>
      <c r="D211" s="34" t="s">
        <v>49</v>
      </c>
      <c r="E211" s="50" t="s">
        <v>895</v>
      </c>
    </row>
    <row r="212" spans="1:5" ht="12.75">
      <c r="A212" s="46" t="s">
        <v>812</v>
      </c>
      <c r="B212" s="34" t="s">
        <v>153</v>
      </c>
      <c r="C212" s="34" t="s">
        <v>133</v>
      </c>
      <c r="D212" s="34" t="s">
        <v>49</v>
      </c>
      <c r="E212" s="50" t="s">
        <v>896</v>
      </c>
    </row>
    <row r="213" spans="1:5" ht="12.75">
      <c r="A213" s="46" t="s">
        <v>805</v>
      </c>
      <c r="B213" s="34" t="s">
        <v>153</v>
      </c>
      <c r="C213" s="34" t="s">
        <v>149</v>
      </c>
      <c r="D213" s="34" t="s">
        <v>317</v>
      </c>
      <c r="E213" s="50" t="s">
        <v>897</v>
      </c>
    </row>
    <row r="214" spans="1:5" ht="12.75">
      <c r="A214" s="46" t="s">
        <v>741</v>
      </c>
      <c r="B214" s="34" t="s">
        <v>447</v>
      </c>
      <c r="C214" s="34" t="s">
        <v>139</v>
      </c>
      <c r="D214" s="34" t="s">
        <v>167</v>
      </c>
      <c r="E214" s="50" t="s">
        <v>898</v>
      </c>
    </row>
    <row r="215" spans="1:5" ht="12.75">
      <c r="A215" s="46" t="s">
        <v>739</v>
      </c>
      <c r="B215" s="34" t="s">
        <v>153</v>
      </c>
      <c r="C215" s="34" t="s">
        <v>139</v>
      </c>
      <c r="D215" s="34" t="s">
        <v>174</v>
      </c>
      <c r="E215" s="50" t="s">
        <v>899</v>
      </c>
    </row>
  </sheetData>
  <sheetProtection/>
  <mergeCells count="28">
    <mergeCell ref="A35:L35"/>
    <mergeCell ref="A38:L38"/>
    <mergeCell ref="A107:L107"/>
    <mergeCell ref="A117:L117"/>
    <mergeCell ref="A42:L42"/>
    <mergeCell ref="A50:L50"/>
    <mergeCell ref="A60:L60"/>
    <mergeCell ref="A74:L74"/>
    <mergeCell ref="A89:L89"/>
    <mergeCell ref="A102:L102"/>
    <mergeCell ref="M3:M4"/>
    <mergeCell ref="A5:L5"/>
    <mergeCell ref="A9:L9"/>
    <mergeCell ref="A12:L12"/>
    <mergeCell ref="A16:L16"/>
    <mergeCell ref="A21:L21"/>
    <mergeCell ref="K3:K4"/>
    <mergeCell ref="L3:L4"/>
    <mergeCell ref="A25:L25"/>
    <mergeCell ref="A31:L3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7.00390625" style="34" bestFit="1" customWidth="1"/>
    <col min="2" max="2" width="24.0039062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28.125" style="34" bestFit="1" customWidth="1"/>
    <col min="7" max="10" width="5.50390625" style="34" bestFit="1" customWidth="1"/>
    <col min="11" max="11" width="6.625" style="34" bestFit="1" customWidth="1"/>
    <col min="12" max="12" width="8.50390625" style="34" bestFit="1" customWidth="1"/>
    <col min="13" max="13" width="7.50390625" style="34" bestFit="1" customWidth="1"/>
  </cols>
  <sheetData>
    <row r="1" spans="1:13" s="1" customFormat="1" ht="35.25" customHeight="1">
      <c r="A1" s="55" t="s">
        <v>1304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60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35.2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5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35.2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53" t="s">
        <v>191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7" t="s">
        <v>900</v>
      </c>
      <c r="B6" s="37" t="s">
        <v>901</v>
      </c>
      <c r="C6" s="37" t="s">
        <v>902</v>
      </c>
      <c r="D6" s="37" t="str">
        <f>"0,7140"</f>
        <v>0,7140</v>
      </c>
      <c r="E6" s="37" t="s">
        <v>276</v>
      </c>
      <c r="F6" s="37" t="s">
        <v>18</v>
      </c>
      <c r="G6" s="37" t="s">
        <v>49</v>
      </c>
      <c r="H6" s="37" t="s">
        <v>19</v>
      </c>
      <c r="I6" s="37" t="s">
        <v>103</v>
      </c>
      <c r="J6" s="37" t="s">
        <v>104</v>
      </c>
      <c r="K6" s="37">
        <v>167.5</v>
      </c>
      <c r="L6" s="37" t="str">
        <f>"119,6034"</f>
        <v>119,6034</v>
      </c>
      <c r="M6" s="37"/>
    </row>
    <row r="8" spans="1:12" ht="15">
      <c r="A8" s="54" t="s">
        <v>52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39" t="s">
        <v>903</v>
      </c>
      <c r="B9" s="39" t="s">
        <v>904</v>
      </c>
      <c r="C9" s="39" t="s">
        <v>905</v>
      </c>
      <c r="D9" s="39" t="str">
        <f>"0,6165"</f>
        <v>0,6165</v>
      </c>
      <c r="E9" s="39" t="s">
        <v>17</v>
      </c>
      <c r="F9" s="39" t="s">
        <v>906</v>
      </c>
      <c r="G9" s="39" t="s">
        <v>22</v>
      </c>
      <c r="H9" s="39" t="s">
        <v>39</v>
      </c>
      <c r="I9" s="40" t="s">
        <v>71</v>
      </c>
      <c r="J9" s="40"/>
      <c r="K9" s="39">
        <v>215</v>
      </c>
      <c r="L9" s="39" t="str">
        <f>"132,5368"</f>
        <v>132,5368</v>
      </c>
      <c r="M9" s="39"/>
    </row>
    <row r="10" spans="1:13" ht="12.75">
      <c r="A10" s="41" t="s">
        <v>903</v>
      </c>
      <c r="B10" s="41" t="s">
        <v>904</v>
      </c>
      <c r="C10" s="41" t="s">
        <v>905</v>
      </c>
      <c r="D10" s="41" t="str">
        <f>"0,6165"</f>
        <v>0,6165</v>
      </c>
      <c r="E10" s="41" t="s">
        <v>17</v>
      </c>
      <c r="F10" s="41" t="s">
        <v>906</v>
      </c>
      <c r="G10" s="42" t="s">
        <v>22</v>
      </c>
      <c r="H10" s="42"/>
      <c r="I10" s="42"/>
      <c r="J10" s="42"/>
      <c r="K10" s="41">
        <v>0</v>
      </c>
      <c r="L10" s="41" t="str">
        <f>"0,0000"</f>
        <v>0,0000</v>
      </c>
      <c r="M10" s="41"/>
    </row>
    <row r="12" spans="1:12" ht="15">
      <c r="A12" s="54" t="s">
        <v>76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37" t="s">
        <v>907</v>
      </c>
      <c r="B13" s="37" t="s">
        <v>908</v>
      </c>
      <c r="C13" s="37" t="s">
        <v>544</v>
      </c>
      <c r="D13" s="37" t="str">
        <f>"0,5856"</f>
        <v>0,5856</v>
      </c>
      <c r="E13" s="37" t="s">
        <v>17</v>
      </c>
      <c r="F13" s="37" t="s">
        <v>75</v>
      </c>
      <c r="G13" s="38" t="s">
        <v>20</v>
      </c>
      <c r="H13" s="38" t="s">
        <v>20</v>
      </c>
      <c r="I13" s="38" t="s">
        <v>20</v>
      </c>
      <c r="J13" s="38"/>
      <c r="K13" s="37">
        <v>0</v>
      </c>
      <c r="L13" s="37" t="str">
        <f>"0,0000"</f>
        <v>0,0000</v>
      </c>
      <c r="M13" s="37"/>
    </row>
    <row r="15" ht="15">
      <c r="E15" s="35" t="s">
        <v>113</v>
      </c>
    </row>
    <row r="16" ht="15">
      <c r="E16" s="35" t="s">
        <v>114</v>
      </c>
    </row>
    <row r="17" ht="15">
      <c r="E17" s="35" t="s">
        <v>115</v>
      </c>
    </row>
    <row r="18" ht="12.75">
      <c r="E18" s="34" t="s">
        <v>116</v>
      </c>
    </row>
    <row r="19" ht="12.75">
      <c r="E19" s="34" t="s">
        <v>117</v>
      </c>
    </row>
    <row r="20" ht="12.75">
      <c r="E20" s="34" t="s">
        <v>118</v>
      </c>
    </row>
    <row r="23" spans="1:2" ht="17.25">
      <c r="A23" s="36" t="s">
        <v>119</v>
      </c>
      <c r="B23" s="36"/>
    </row>
    <row r="24" spans="1:2" ht="15">
      <c r="A24" s="45" t="s">
        <v>120</v>
      </c>
      <c r="B24" s="45"/>
    </row>
    <row r="25" spans="1:2" ht="14.25">
      <c r="A25" s="47" t="s">
        <v>427</v>
      </c>
      <c r="B25" s="48"/>
    </row>
    <row r="26" spans="1:5" ht="13.5">
      <c r="A26" s="49" t="s">
        <v>0</v>
      </c>
      <c r="B26" s="49" t="s">
        <v>122</v>
      </c>
      <c r="C26" s="49" t="s">
        <v>123</v>
      </c>
      <c r="D26" s="49" t="s">
        <v>7</v>
      </c>
      <c r="E26" s="49" t="s">
        <v>124</v>
      </c>
    </row>
    <row r="27" spans="1:5" ht="12.75">
      <c r="A27" s="46" t="s">
        <v>900</v>
      </c>
      <c r="B27" s="34" t="s">
        <v>840</v>
      </c>
      <c r="C27" s="34" t="s">
        <v>235</v>
      </c>
      <c r="D27" s="34" t="s">
        <v>103</v>
      </c>
      <c r="E27" s="50" t="s">
        <v>909</v>
      </c>
    </row>
    <row r="29" spans="1:2" ht="14.25">
      <c r="A29" s="47" t="s">
        <v>132</v>
      </c>
      <c r="B29" s="48"/>
    </row>
    <row r="30" spans="1:5" ht="13.5">
      <c r="A30" s="49" t="s">
        <v>0</v>
      </c>
      <c r="B30" s="49" t="s">
        <v>122</v>
      </c>
      <c r="C30" s="49" t="s">
        <v>123</v>
      </c>
      <c r="D30" s="49" t="s">
        <v>7</v>
      </c>
      <c r="E30" s="49" t="s">
        <v>124</v>
      </c>
    </row>
    <row r="31" spans="1:5" ht="12.75">
      <c r="A31" s="46" t="s">
        <v>903</v>
      </c>
      <c r="B31" s="34" t="s">
        <v>132</v>
      </c>
      <c r="C31" s="34" t="s">
        <v>126</v>
      </c>
      <c r="D31" s="34" t="s">
        <v>39</v>
      </c>
      <c r="E31" s="50" t="s">
        <v>910</v>
      </c>
    </row>
  </sheetData>
  <sheetProtection/>
  <mergeCells count="14">
    <mergeCell ref="F3:F4"/>
    <mergeCell ref="G3:J3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27.00390625" style="34" bestFit="1" customWidth="1"/>
    <col min="2" max="2" width="26.0039062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13.875" style="34" bestFit="1" customWidth="1"/>
    <col min="7" max="9" width="5.50390625" style="34" bestFit="1" customWidth="1"/>
    <col min="10" max="10" width="4.875" style="34" bestFit="1" customWidth="1"/>
    <col min="11" max="11" width="6.625" style="34" bestFit="1" customWidth="1"/>
    <col min="12" max="12" width="8.50390625" style="34" bestFit="1" customWidth="1"/>
    <col min="13" max="13" width="7.50390625" style="34" bestFit="1" customWidth="1"/>
  </cols>
  <sheetData>
    <row r="1" spans="1:13" s="1" customFormat="1" ht="32.25" customHeight="1">
      <c r="A1" s="55" t="s">
        <v>1303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63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32.2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5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32.2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53" t="s">
        <v>52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9" t="s">
        <v>749</v>
      </c>
      <c r="B6" s="39" t="s">
        <v>750</v>
      </c>
      <c r="C6" s="39" t="s">
        <v>334</v>
      </c>
      <c r="D6" s="39" t="str">
        <f>"0,6119"</f>
        <v>0,6119</v>
      </c>
      <c r="E6" s="39" t="s">
        <v>17</v>
      </c>
      <c r="F6" s="39" t="s">
        <v>18</v>
      </c>
      <c r="G6" s="39" t="s">
        <v>212</v>
      </c>
      <c r="H6" s="39" t="s">
        <v>227</v>
      </c>
      <c r="I6" s="40" t="s">
        <v>20</v>
      </c>
      <c r="J6" s="40"/>
      <c r="K6" s="39">
        <v>175</v>
      </c>
      <c r="L6" s="39" t="str">
        <f>"107,0738"</f>
        <v>107,0738</v>
      </c>
      <c r="M6" s="39"/>
    </row>
    <row r="7" spans="1:13" ht="12.75">
      <c r="A7" s="41" t="s">
        <v>903</v>
      </c>
      <c r="B7" s="41" t="s">
        <v>904</v>
      </c>
      <c r="C7" s="41" t="s">
        <v>905</v>
      </c>
      <c r="D7" s="41" t="str">
        <f>"0,6165"</f>
        <v>0,6165</v>
      </c>
      <c r="E7" s="41" t="s">
        <v>17</v>
      </c>
      <c r="F7" s="41" t="s">
        <v>906</v>
      </c>
      <c r="G7" s="41" t="s">
        <v>22</v>
      </c>
      <c r="H7" s="41" t="s">
        <v>39</v>
      </c>
      <c r="I7" s="42" t="s">
        <v>71</v>
      </c>
      <c r="J7" s="42"/>
      <c r="K7" s="41">
        <v>215</v>
      </c>
      <c r="L7" s="41" t="str">
        <f>"132,5368"</f>
        <v>132,5368</v>
      </c>
      <c r="M7" s="41"/>
    </row>
    <row r="9" ht="15">
      <c r="E9" s="35" t="s">
        <v>113</v>
      </c>
    </row>
    <row r="10" ht="15">
      <c r="E10" s="35" t="s">
        <v>114</v>
      </c>
    </row>
    <row r="11" ht="15">
      <c r="E11" s="35" t="s">
        <v>115</v>
      </c>
    </row>
    <row r="12" ht="12.75">
      <c r="E12" s="34" t="s">
        <v>116</v>
      </c>
    </row>
    <row r="13" ht="12.75">
      <c r="E13" s="34" t="s">
        <v>117</v>
      </c>
    </row>
    <row r="14" ht="12.75">
      <c r="E14" s="34" t="s">
        <v>118</v>
      </c>
    </row>
    <row r="17" spans="1:2" ht="17.25">
      <c r="A17" s="36" t="s">
        <v>119</v>
      </c>
      <c r="B17" s="36"/>
    </row>
    <row r="18" spans="1:2" ht="15">
      <c r="A18" s="45" t="s">
        <v>120</v>
      </c>
      <c r="B18" s="45"/>
    </row>
    <row r="19" spans="1:2" ht="14.25">
      <c r="A19" s="47" t="s">
        <v>121</v>
      </c>
      <c r="B19" s="48"/>
    </row>
    <row r="20" spans="1:5" ht="13.5">
      <c r="A20" s="49" t="s">
        <v>0</v>
      </c>
      <c r="B20" s="49" t="s">
        <v>122</v>
      </c>
      <c r="C20" s="49" t="s">
        <v>123</v>
      </c>
      <c r="D20" s="49" t="s">
        <v>7</v>
      </c>
      <c r="E20" s="49" t="s">
        <v>124</v>
      </c>
    </row>
    <row r="21" spans="1:5" ht="12.75">
      <c r="A21" s="46" t="s">
        <v>749</v>
      </c>
      <c r="B21" s="34" t="s">
        <v>125</v>
      </c>
      <c r="C21" s="34" t="s">
        <v>126</v>
      </c>
      <c r="D21" s="34" t="s">
        <v>227</v>
      </c>
      <c r="E21" s="50" t="s">
        <v>911</v>
      </c>
    </row>
    <row r="23" spans="1:2" ht="14.25">
      <c r="A23" s="47" t="s">
        <v>132</v>
      </c>
      <c r="B23" s="48"/>
    </row>
    <row r="24" spans="1:5" ht="13.5">
      <c r="A24" s="49" t="s">
        <v>0</v>
      </c>
      <c r="B24" s="49" t="s">
        <v>122</v>
      </c>
      <c r="C24" s="49" t="s">
        <v>123</v>
      </c>
      <c r="D24" s="49" t="s">
        <v>7</v>
      </c>
      <c r="E24" s="49" t="s">
        <v>124</v>
      </c>
    </row>
    <row r="25" spans="1:5" ht="12.75">
      <c r="A25" s="46" t="s">
        <v>903</v>
      </c>
      <c r="B25" s="34" t="s">
        <v>132</v>
      </c>
      <c r="C25" s="34" t="s">
        <v>126</v>
      </c>
      <c r="D25" s="34" t="s">
        <v>39</v>
      </c>
      <c r="E25" s="50" t="s">
        <v>910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33.125" style="34" bestFit="1" customWidth="1"/>
    <col min="7" max="9" width="5.50390625" style="34" bestFit="1" customWidth="1"/>
    <col min="10" max="10" width="4.875" style="34" bestFit="1" customWidth="1"/>
    <col min="11" max="11" width="6.625" style="34" bestFit="1" customWidth="1"/>
    <col min="12" max="12" width="8.50390625" style="34" bestFit="1" customWidth="1"/>
    <col min="13" max="13" width="7.50390625" style="34" bestFit="1" customWidth="1"/>
  </cols>
  <sheetData>
    <row r="1" spans="1:13" s="1" customFormat="1" ht="44.25" customHeight="1">
      <c r="A1" s="55" t="s">
        <v>1298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48.7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44.2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5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44.2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53" t="s">
        <v>191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7" t="s">
        <v>1234</v>
      </c>
      <c r="B6" s="37" t="s">
        <v>1235</v>
      </c>
      <c r="C6" s="37" t="s">
        <v>503</v>
      </c>
      <c r="D6" s="37" t="str">
        <f>"0,8429"</f>
        <v>0,8429</v>
      </c>
      <c r="E6" s="37" t="s">
        <v>535</v>
      </c>
      <c r="F6" s="37" t="s">
        <v>927</v>
      </c>
      <c r="G6" s="37" t="s">
        <v>259</v>
      </c>
      <c r="H6" s="37" t="s">
        <v>317</v>
      </c>
      <c r="I6" s="37" t="s">
        <v>49</v>
      </c>
      <c r="J6" s="38"/>
      <c r="K6" s="37">
        <v>150</v>
      </c>
      <c r="L6" s="37" t="str">
        <f>"126,4350"</f>
        <v>126,4350</v>
      </c>
      <c r="M6" s="37"/>
    </row>
    <row r="8" spans="1:12" ht="15">
      <c r="A8" s="54" t="s">
        <v>191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39" t="s">
        <v>1236</v>
      </c>
      <c r="B9" s="39" t="s">
        <v>1237</v>
      </c>
      <c r="C9" s="39" t="s">
        <v>1238</v>
      </c>
      <c r="D9" s="39" t="str">
        <f>"0,7102"</f>
        <v>0,7102</v>
      </c>
      <c r="E9" s="39" t="s">
        <v>17</v>
      </c>
      <c r="F9" s="39" t="s">
        <v>352</v>
      </c>
      <c r="G9" s="39" t="s">
        <v>33</v>
      </c>
      <c r="H9" s="39" t="s">
        <v>71</v>
      </c>
      <c r="I9" s="40" t="s">
        <v>221</v>
      </c>
      <c r="J9" s="40"/>
      <c r="K9" s="39">
        <v>230</v>
      </c>
      <c r="L9" s="39" t="str">
        <f>"163,3460"</f>
        <v>163,3460</v>
      </c>
      <c r="M9" s="39"/>
    </row>
    <row r="10" spans="1:13" ht="12.75">
      <c r="A10" s="41" t="s">
        <v>1239</v>
      </c>
      <c r="B10" s="41" t="s">
        <v>1240</v>
      </c>
      <c r="C10" s="41" t="s">
        <v>503</v>
      </c>
      <c r="D10" s="41" t="str">
        <f>"0,6947"</f>
        <v>0,6947</v>
      </c>
      <c r="E10" s="41" t="s">
        <v>466</v>
      </c>
      <c r="F10" s="41" t="s">
        <v>101</v>
      </c>
      <c r="G10" s="42" t="s">
        <v>49</v>
      </c>
      <c r="H10" s="42" t="s">
        <v>19</v>
      </c>
      <c r="I10" s="42" t="s">
        <v>19</v>
      </c>
      <c r="J10" s="42"/>
      <c r="K10" s="41">
        <v>0</v>
      </c>
      <c r="L10" s="41" t="str">
        <f>"0,0000"</f>
        <v>0,0000</v>
      </c>
      <c r="M10" s="41"/>
    </row>
    <row r="12" spans="1:12" ht="15">
      <c r="A12" s="54" t="s">
        <v>52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39" t="s">
        <v>1241</v>
      </c>
      <c r="B13" s="39" t="s">
        <v>1242</v>
      </c>
      <c r="C13" s="39" t="s">
        <v>1243</v>
      </c>
      <c r="D13" s="39" t="str">
        <f>"0,6133"</f>
        <v>0,6133</v>
      </c>
      <c r="E13" s="39" t="s">
        <v>17</v>
      </c>
      <c r="F13" s="39" t="s">
        <v>952</v>
      </c>
      <c r="G13" s="39" t="s">
        <v>34</v>
      </c>
      <c r="H13" s="39" t="s">
        <v>523</v>
      </c>
      <c r="I13" s="40" t="s">
        <v>56</v>
      </c>
      <c r="J13" s="40"/>
      <c r="K13" s="39">
        <v>247.5</v>
      </c>
      <c r="L13" s="39" t="str">
        <f>"151,8041"</f>
        <v>151,8041</v>
      </c>
      <c r="M13" s="39"/>
    </row>
    <row r="14" spans="1:13" ht="12.75">
      <c r="A14" s="41" t="s">
        <v>903</v>
      </c>
      <c r="B14" s="41" t="s">
        <v>904</v>
      </c>
      <c r="C14" s="41" t="s">
        <v>905</v>
      </c>
      <c r="D14" s="41" t="str">
        <f>"0,6165"</f>
        <v>0,6165</v>
      </c>
      <c r="E14" s="41" t="s">
        <v>17</v>
      </c>
      <c r="F14" s="41" t="s">
        <v>906</v>
      </c>
      <c r="G14" s="42" t="s">
        <v>66</v>
      </c>
      <c r="H14" s="41" t="s">
        <v>66</v>
      </c>
      <c r="I14" s="42" t="s">
        <v>22</v>
      </c>
      <c r="J14" s="42"/>
      <c r="K14" s="41">
        <v>190</v>
      </c>
      <c r="L14" s="41" t="str">
        <f>"117,1255"</f>
        <v>117,1255</v>
      </c>
      <c r="M14" s="41"/>
    </row>
    <row r="16" spans="1:12" ht="15">
      <c r="A16" s="54" t="s">
        <v>76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3" ht="12.75">
      <c r="A17" s="39" t="s">
        <v>1244</v>
      </c>
      <c r="B17" s="39" t="s">
        <v>1245</v>
      </c>
      <c r="C17" s="39" t="s">
        <v>1246</v>
      </c>
      <c r="D17" s="39" t="str">
        <f>"0,6104"</f>
        <v>0,6104</v>
      </c>
      <c r="E17" s="39" t="s">
        <v>17</v>
      </c>
      <c r="F17" s="39" t="s">
        <v>1247</v>
      </c>
      <c r="G17" s="39" t="s">
        <v>27</v>
      </c>
      <c r="H17" s="40" t="s">
        <v>22</v>
      </c>
      <c r="I17" s="40" t="s">
        <v>22</v>
      </c>
      <c r="J17" s="40"/>
      <c r="K17" s="39">
        <v>195</v>
      </c>
      <c r="L17" s="39" t="str">
        <f>"119,0280"</f>
        <v>119,0280</v>
      </c>
      <c r="M17" s="39"/>
    </row>
    <row r="18" spans="1:13" ht="12.75">
      <c r="A18" s="41" t="s">
        <v>1248</v>
      </c>
      <c r="B18" s="41" t="s">
        <v>1249</v>
      </c>
      <c r="C18" s="41" t="s">
        <v>801</v>
      </c>
      <c r="D18" s="41" t="str">
        <f>"0,5867"</f>
        <v>0,5867</v>
      </c>
      <c r="E18" s="41" t="s">
        <v>466</v>
      </c>
      <c r="F18" s="41" t="s">
        <v>101</v>
      </c>
      <c r="G18" s="41" t="s">
        <v>20</v>
      </c>
      <c r="H18" s="41" t="s">
        <v>22</v>
      </c>
      <c r="I18" s="42" t="s">
        <v>70</v>
      </c>
      <c r="J18" s="42"/>
      <c r="K18" s="41">
        <v>200</v>
      </c>
      <c r="L18" s="41" t="str">
        <f>"117,3300"</f>
        <v>117,3300</v>
      </c>
      <c r="M18" s="41"/>
    </row>
    <row r="20" spans="1:12" ht="15">
      <c r="A20" s="54" t="s">
        <v>88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3" ht="12.75">
      <c r="A21" s="39" t="s">
        <v>1250</v>
      </c>
      <c r="B21" s="39" t="s">
        <v>1251</v>
      </c>
      <c r="C21" s="39" t="s">
        <v>1252</v>
      </c>
      <c r="D21" s="39" t="str">
        <f>"0,5638"</f>
        <v>0,5638</v>
      </c>
      <c r="E21" s="39" t="s">
        <v>17</v>
      </c>
      <c r="F21" s="39" t="s">
        <v>1253</v>
      </c>
      <c r="G21" s="39" t="s">
        <v>33</v>
      </c>
      <c r="H21" s="39" t="s">
        <v>71</v>
      </c>
      <c r="I21" s="39" t="s">
        <v>34</v>
      </c>
      <c r="J21" s="40"/>
      <c r="K21" s="39">
        <v>235</v>
      </c>
      <c r="L21" s="39" t="str">
        <f>"132,4930"</f>
        <v>132,4930</v>
      </c>
      <c r="M21" s="39"/>
    </row>
    <row r="22" spans="1:13" ht="12.75">
      <c r="A22" s="41" t="s">
        <v>1250</v>
      </c>
      <c r="B22" s="41" t="s">
        <v>1254</v>
      </c>
      <c r="C22" s="41" t="s">
        <v>1252</v>
      </c>
      <c r="D22" s="41" t="str">
        <f>"0,5880"</f>
        <v>0,5880</v>
      </c>
      <c r="E22" s="41" t="s">
        <v>17</v>
      </c>
      <c r="F22" s="41" t="s">
        <v>1253</v>
      </c>
      <c r="G22" s="41" t="s">
        <v>33</v>
      </c>
      <c r="H22" s="41" t="s">
        <v>71</v>
      </c>
      <c r="I22" s="41" t="s">
        <v>34</v>
      </c>
      <c r="J22" s="42"/>
      <c r="K22" s="41">
        <v>235</v>
      </c>
      <c r="L22" s="41" t="str">
        <f>"138,1902"</f>
        <v>138,1902</v>
      </c>
      <c r="M22" s="41"/>
    </row>
    <row r="24" spans="1:12" ht="15">
      <c r="A24" s="54" t="s">
        <v>97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3" ht="12.75">
      <c r="A25" s="37" t="s">
        <v>1255</v>
      </c>
      <c r="B25" s="37" t="s">
        <v>1256</v>
      </c>
      <c r="C25" s="37" t="s">
        <v>1257</v>
      </c>
      <c r="D25" s="37" t="str">
        <f>"0,5598"</f>
        <v>0,5598</v>
      </c>
      <c r="E25" s="37" t="s">
        <v>17</v>
      </c>
      <c r="F25" s="37" t="s">
        <v>952</v>
      </c>
      <c r="G25" s="38" t="s">
        <v>227</v>
      </c>
      <c r="H25" s="38"/>
      <c r="I25" s="38"/>
      <c r="J25" s="38"/>
      <c r="K25" s="37">
        <v>0</v>
      </c>
      <c r="L25" s="37" t="str">
        <f>"0,0000"</f>
        <v>0,0000</v>
      </c>
      <c r="M25" s="37"/>
    </row>
    <row r="27" spans="1:12" ht="15">
      <c r="A27" s="54" t="s">
        <v>107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3" ht="12.75">
      <c r="A28" s="37" t="s">
        <v>417</v>
      </c>
      <c r="B28" s="37" t="s">
        <v>418</v>
      </c>
      <c r="C28" s="37" t="s">
        <v>419</v>
      </c>
      <c r="D28" s="37" t="str">
        <f>"0,5706"</f>
        <v>0,5706</v>
      </c>
      <c r="E28" s="37" t="s">
        <v>17</v>
      </c>
      <c r="F28" s="37" t="s">
        <v>420</v>
      </c>
      <c r="G28" s="38" t="s">
        <v>22</v>
      </c>
      <c r="H28" s="38" t="s">
        <v>22</v>
      </c>
      <c r="I28" s="38"/>
      <c r="J28" s="38"/>
      <c r="K28" s="37">
        <v>0</v>
      </c>
      <c r="L28" s="37" t="str">
        <f>"0,0000"</f>
        <v>0,0000</v>
      </c>
      <c r="M28" s="37"/>
    </row>
    <row r="30" ht="15">
      <c r="E30" s="35" t="s">
        <v>113</v>
      </c>
    </row>
    <row r="31" ht="15">
      <c r="E31" s="35" t="s">
        <v>114</v>
      </c>
    </row>
    <row r="32" ht="15">
      <c r="E32" s="35" t="s">
        <v>115</v>
      </c>
    </row>
    <row r="33" ht="12.75">
      <c r="E33" s="34" t="s">
        <v>116</v>
      </c>
    </row>
    <row r="34" ht="12.75">
      <c r="E34" s="34" t="s">
        <v>117</v>
      </c>
    </row>
    <row r="35" ht="12.75">
      <c r="E35" s="34" t="s">
        <v>118</v>
      </c>
    </row>
    <row r="38" spans="1:2" ht="17.25">
      <c r="A38" s="36" t="s">
        <v>119</v>
      </c>
      <c r="B38" s="36"/>
    </row>
    <row r="39" spans="1:2" ht="15">
      <c r="A39" s="45" t="s">
        <v>231</v>
      </c>
      <c r="B39" s="45"/>
    </row>
    <row r="40" spans="1:2" ht="14.25">
      <c r="A40" s="47" t="s">
        <v>132</v>
      </c>
      <c r="B40" s="48"/>
    </row>
    <row r="41" spans="1:5" ht="13.5">
      <c r="A41" s="49" t="s">
        <v>0</v>
      </c>
      <c r="B41" s="49" t="s">
        <v>122</v>
      </c>
      <c r="C41" s="49" t="s">
        <v>123</v>
      </c>
      <c r="D41" s="49" t="s">
        <v>7</v>
      </c>
      <c r="E41" s="49" t="s">
        <v>124</v>
      </c>
    </row>
    <row r="42" spans="1:5" ht="12.75">
      <c r="A42" s="46" t="s">
        <v>1234</v>
      </c>
      <c r="B42" s="34" t="s">
        <v>132</v>
      </c>
      <c r="C42" s="34" t="s">
        <v>235</v>
      </c>
      <c r="D42" s="34" t="s">
        <v>49</v>
      </c>
      <c r="E42" s="50" t="s">
        <v>1258</v>
      </c>
    </row>
    <row r="45" spans="1:2" ht="15">
      <c r="A45" s="45" t="s">
        <v>120</v>
      </c>
      <c r="B45" s="45"/>
    </row>
    <row r="46" spans="1:2" ht="14.25">
      <c r="A46" s="47" t="s">
        <v>427</v>
      </c>
      <c r="B46" s="48"/>
    </row>
    <row r="47" spans="1:5" ht="13.5">
      <c r="A47" s="49" t="s">
        <v>0</v>
      </c>
      <c r="B47" s="49" t="s">
        <v>122</v>
      </c>
      <c r="C47" s="49" t="s">
        <v>123</v>
      </c>
      <c r="D47" s="49" t="s">
        <v>7</v>
      </c>
      <c r="E47" s="49" t="s">
        <v>124</v>
      </c>
    </row>
    <row r="48" spans="1:5" ht="12.75">
      <c r="A48" s="46" t="s">
        <v>1244</v>
      </c>
      <c r="B48" s="34" t="s">
        <v>840</v>
      </c>
      <c r="C48" s="34" t="s">
        <v>149</v>
      </c>
      <c r="D48" s="34" t="s">
        <v>27</v>
      </c>
      <c r="E48" s="50" t="s">
        <v>1259</v>
      </c>
    </row>
    <row r="50" spans="1:2" ht="14.25">
      <c r="A50" s="47" t="s">
        <v>132</v>
      </c>
      <c r="B50" s="48"/>
    </row>
    <row r="51" spans="1:5" ht="13.5">
      <c r="A51" s="49" t="s">
        <v>0</v>
      </c>
      <c r="B51" s="49" t="s">
        <v>122</v>
      </c>
      <c r="C51" s="49" t="s">
        <v>123</v>
      </c>
      <c r="D51" s="49" t="s">
        <v>7</v>
      </c>
      <c r="E51" s="49" t="s">
        <v>124</v>
      </c>
    </row>
    <row r="52" spans="1:5" ht="12.75">
      <c r="A52" s="46" t="s">
        <v>1236</v>
      </c>
      <c r="B52" s="34" t="s">
        <v>132</v>
      </c>
      <c r="C52" s="34" t="s">
        <v>235</v>
      </c>
      <c r="D52" s="34" t="s">
        <v>71</v>
      </c>
      <c r="E52" s="50" t="s">
        <v>1260</v>
      </c>
    </row>
    <row r="53" spans="1:5" ht="12.75">
      <c r="A53" s="46" t="s">
        <v>1241</v>
      </c>
      <c r="B53" s="34" t="s">
        <v>132</v>
      </c>
      <c r="C53" s="34" t="s">
        <v>126</v>
      </c>
      <c r="D53" s="34" t="s">
        <v>523</v>
      </c>
      <c r="E53" s="50" t="s">
        <v>1261</v>
      </c>
    </row>
    <row r="54" spans="1:5" ht="12.75">
      <c r="A54" s="46" t="s">
        <v>1250</v>
      </c>
      <c r="B54" s="34" t="s">
        <v>132</v>
      </c>
      <c r="C54" s="34" t="s">
        <v>133</v>
      </c>
      <c r="D54" s="34" t="s">
        <v>34</v>
      </c>
      <c r="E54" s="50" t="s">
        <v>1262</v>
      </c>
    </row>
    <row r="55" spans="1:5" ht="12.75">
      <c r="A55" s="46" t="s">
        <v>1248</v>
      </c>
      <c r="B55" s="34" t="s">
        <v>132</v>
      </c>
      <c r="C55" s="34" t="s">
        <v>149</v>
      </c>
      <c r="D55" s="34" t="s">
        <v>22</v>
      </c>
      <c r="E55" s="50" t="s">
        <v>1263</v>
      </c>
    </row>
    <row r="56" spans="1:5" ht="12.75">
      <c r="A56" s="46" t="s">
        <v>903</v>
      </c>
      <c r="B56" s="34" t="s">
        <v>132</v>
      </c>
      <c r="C56" s="34" t="s">
        <v>126</v>
      </c>
      <c r="D56" s="34" t="s">
        <v>66</v>
      </c>
      <c r="E56" s="50" t="s">
        <v>1264</v>
      </c>
    </row>
    <row r="58" spans="1:2" ht="14.25">
      <c r="A58" s="47" t="s">
        <v>152</v>
      </c>
      <c r="B58" s="48"/>
    </row>
    <row r="59" spans="1:5" ht="13.5">
      <c r="A59" s="49" t="s">
        <v>0</v>
      </c>
      <c r="B59" s="49" t="s">
        <v>122</v>
      </c>
      <c r="C59" s="49" t="s">
        <v>123</v>
      </c>
      <c r="D59" s="49" t="s">
        <v>7</v>
      </c>
      <c r="E59" s="49" t="s">
        <v>124</v>
      </c>
    </row>
    <row r="60" spans="1:5" ht="12.75">
      <c r="A60" s="46" t="s">
        <v>1250</v>
      </c>
      <c r="B60" s="34" t="s">
        <v>153</v>
      </c>
      <c r="C60" s="34" t="s">
        <v>133</v>
      </c>
      <c r="D60" s="34" t="s">
        <v>34</v>
      </c>
      <c r="E60" s="50" t="s">
        <v>1265</v>
      </c>
    </row>
  </sheetData>
  <sheetProtection/>
  <mergeCells count="18">
    <mergeCell ref="A16:L16"/>
    <mergeCell ref="A20:L20"/>
    <mergeCell ref="A24:L24"/>
    <mergeCell ref="A27:L27"/>
    <mergeCell ref="K3:K4"/>
    <mergeCell ref="L3:L4"/>
    <mergeCell ref="F3:F4"/>
    <mergeCell ref="G3:J3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27.00390625" style="34" bestFit="1" customWidth="1"/>
    <col min="2" max="2" width="19.12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10.625" style="34" bestFit="1" customWidth="1"/>
    <col min="7" max="8" width="5.50390625" style="34" bestFit="1" customWidth="1"/>
    <col min="9" max="9" width="2.125" style="34" bestFit="1" customWidth="1"/>
    <col min="10" max="10" width="4.875" style="34" bestFit="1" customWidth="1"/>
    <col min="11" max="11" width="6.625" style="34" bestFit="1" customWidth="1"/>
    <col min="12" max="12" width="8.50390625" style="34" bestFit="1" customWidth="1"/>
    <col min="13" max="13" width="7.50390625" style="34" bestFit="1" customWidth="1"/>
  </cols>
  <sheetData>
    <row r="1" spans="1:13" s="1" customFormat="1" ht="15" customHeight="1">
      <c r="A1" s="55" t="s">
        <v>1299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88.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12.7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5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23.2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53" t="s">
        <v>52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7" t="s">
        <v>903</v>
      </c>
      <c r="B6" s="37" t="s">
        <v>904</v>
      </c>
      <c r="C6" s="37" t="s">
        <v>905</v>
      </c>
      <c r="D6" s="37" t="str">
        <f>"0,6165"</f>
        <v>0,6165</v>
      </c>
      <c r="E6" s="37" t="s">
        <v>17</v>
      </c>
      <c r="F6" s="37" t="s">
        <v>906</v>
      </c>
      <c r="G6" s="38" t="s">
        <v>70</v>
      </c>
      <c r="H6" s="37" t="s">
        <v>39</v>
      </c>
      <c r="I6" s="38"/>
      <c r="J6" s="38"/>
      <c r="K6" s="37">
        <v>215</v>
      </c>
      <c r="L6" s="37" t="str">
        <f>"132,5368"</f>
        <v>132,5368</v>
      </c>
      <c r="M6" s="37"/>
    </row>
    <row r="8" ht="15">
      <c r="E8" s="35" t="s">
        <v>113</v>
      </c>
    </row>
    <row r="9" ht="15">
      <c r="E9" s="35" t="s">
        <v>114</v>
      </c>
    </row>
    <row r="10" ht="15">
      <c r="E10" s="35" t="s">
        <v>115</v>
      </c>
    </row>
    <row r="11" ht="12.75">
      <c r="E11" s="34" t="s">
        <v>116</v>
      </c>
    </row>
    <row r="12" ht="12.75">
      <c r="E12" s="34" t="s">
        <v>117</v>
      </c>
    </row>
    <row r="13" ht="12.75">
      <c r="E13" s="34" t="s">
        <v>118</v>
      </c>
    </row>
    <row r="16" spans="1:2" ht="17.25">
      <c r="A16" s="36" t="s">
        <v>119</v>
      </c>
      <c r="B16" s="36"/>
    </row>
    <row r="17" spans="1:2" ht="15">
      <c r="A17" s="45" t="s">
        <v>120</v>
      </c>
      <c r="B17" s="45"/>
    </row>
    <row r="18" spans="1:2" ht="14.25">
      <c r="A18" s="47" t="s">
        <v>132</v>
      </c>
      <c r="B18" s="48"/>
    </row>
    <row r="19" spans="1:5" ht="13.5">
      <c r="A19" s="49" t="s">
        <v>0</v>
      </c>
      <c r="B19" s="49" t="s">
        <v>122</v>
      </c>
      <c r="C19" s="49" t="s">
        <v>123</v>
      </c>
      <c r="D19" s="49" t="s">
        <v>7</v>
      </c>
      <c r="E19" s="49" t="s">
        <v>124</v>
      </c>
    </row>
    <row r="20" spans="1:5" ht="12.75">
      <c r="A20" s="46" t="s">
        <v>903</v>
      </c>
      <c r="B20" s="34" t="s">
        <v>132</v>
      </c>
      <c r="C20" s="34" t="s">
        <v>126</v>
      </c>
      <c r="D20" s="34" t="s">
        <v>39</v>
      </c>
      <c r="E20" s="50" t="s">
        <v>910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28.125" style="34" bestFit="1" customWidth="1"/>
    <col min="7" max="7" width="5.50390625" style="34" bestFit="1" customWidth="1"/>
    <col min="8" max="8" width="7.50390625" style="34" bestFit="1" customWidth="1"/>
    <col min="9" max="9" width="2.125" style="34" bestFit="1" customWidth="1"/>
    <col min="10" max="10" width="4.875" style="34" bestFit="1" customWidth="1"/>
    <col min="11" max="11" width="6.625" style="34" bestFit="1" customWidth="1"/>
    <col min="12" max="12" width="9.50390625" style="34" bestFit="1" customWidth="1"/>
    <col min="13" max="13" width="7.50390625" style="34" bestFit="1" customWidth="1"/>
  </cols>
  <sheetData>
    <row r="1" spans="1:13" s="1" customFormat="1" ht="15" customHeight="1">
      <c r="A1" s="55" t="s">
        <v>1453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7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12.75" customHeight="1">
      <c r="A3" s="61" t="s">
        <v>0</v>
      </c>
      <c r="B3" s="63" t="s">
        <v>1398</v>
      </c>
      <c r="C3" s="63" t="s">
        <v>11</v>
      </c>
      <c r="D3" s="65" t="s">
        <v>1</v>
      </c>
      <c r="E3" s="65" t="s">
        <v>2</v>
      </c>
      <c r="F3" s="68" t="s">
        <v>3</v>
      </c>
      <c r="G3" s="65" t="s">
        <v>5</v>
      </c>
      <c r="H3" s="65"/>
      <c r="I3" s="65"/>
      <c r="J3" s="65"/>
      <c r="K3" s="65" t="s">
        <v>7</v>
      </c>
      <c r="L3" s="65" t="s">
        <v>9</v>
      </c>
      <c r="M3" s="51" t="s">
        <v>8</v>
      </c>
    </row>
    <row r="4" spans="1:13" s="7" customFormat="1" ht="23.25" customHeight="1" thickBot="1">
      <c r="A4" s="62"/>
      <c r="B4" s="64"/>
      <c r="C4" s="64"/>
      <c r="D4" s="64"/>
      <c r="E4" s="64"/>
      <c r="F4" s="69"/>
      <c r="G4" s="2" t="s">
        <v>1397</v>
      </c>
      <c r="H4" s="2" t="s">
        <v>1396</v>
      </c>
      <c r="I4" s="2">
        <v>3</v>
      </c>
      <c r="J4" s="4" t="s">
        <v>10</v>
      </c>
      <c r="K4" s="64"/>
      <c r="L4" s="64"/>
      <c r="M4" s="52"/>
    </row>
    <row r="5" spans="1:12" ht="15">
      <c r="A5" s="53" t="s">
        <v>285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9" t="s">
        <v>286</v>
      </c>
      <c r="B6" s="39" t="s">
        <v>287</v>
      </c>
      <c r="C6" s="39" t="s">
        <v>288</v>
      </c>
      <c r="D6" s="39" t="str">
        <f>"1,1299"</f>
        <v>1,1299</v>
      </c>
      <c r="E6" s="39" t="s">
        <v>17</v>
      </c>
      <c r="F6" s="39" t="s">
        <v>101</v>
      </c>
      <c r="G6" s="39" t="s">
        <v>630</v>
      </c>
      <c r="H6" s="39" t="s">
        <v>1395</v>
      </c>
      <c r="I6" s="40"/>
      <c r="J6" s="40"/>
      <c r="K6" s="39">
        <v>892.5</v>
      </c>
      <c r="L6" s="39" t="str">
        <f>"1008,4357"</f>
        <v>1008,4357</v>
      </c>
      <c r="M6" s="39"/>
    </row>
    <row r="7" spans="1:13" ht="12.75">
      <c r="A7" s="41" t="s">
        <v>1394</v>
      </c>
      <c r="B7" s="41" t="s">
        <v>1393</v>
      </c>
      <c r="C7" s="41" t="s">
        <v>1392</v>
      </c>
      <c r="D7" s="41" t="str">
        <f>"1,2238"</f>
        <v>1,2238</v>
      </c>
      <c r="E7" s="41" t="s">
        <v>17</v>
      </c>
      <c r="F7" s="41" t="s">
        <v>101</v>
      </c>
      <c r="G7" s="42" t="s">
        <v>165</v>
      </c>
      <c r="H7" s="42"/>
      <c r="I7" s="42"/>
      <c r="J7" s="42"/>
      <c r="K7" s="41">
        <v>0</v>
      </c>
      <c r="L7" s="41" t="str">
        <f>"0,0000"</f>
        <v>0,0000</v>
      </c>
      <c r="M7" s="41"/>
    </row>
    <row r="9" spans="1:12" ht="15">
      <c r="A9" s="54" t="s">
        <v>176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ht="12.75">
      <c r="A10" s="37" t="s">
        <v>643</v>
      </c>
      <c r="B10" s="37" t="s">
        <v>644</v>
      </c>
      <c r="C10" s="37" t="s">
        <v>645</v>
      </c>
      <c r="D10" s="37" t="str">
        <f>"0,9244"</f>
        <v>0,9244</v>
      </c>
      <c r="E10" s="37" t="s">
        <v>17</v>
      </c>
      <c r="F10" s="37" t="s">
        <v>316</v>
      </c>
      <c r="G10" s="37" t="s">
        <v>278</v>
      </c>
      <c r="H10" s="37" t="s">
        <v>1361</v>
      </c>
      <c r="I10" s="38"/>
      <c r="J10" s="38"/>
      <c r="K10" s="37">
        <v>1350</v>
      </c>
      <c r="L10" s="37" t="str">
        <f>"1247,9400"</f>
        <v>1247,9400</v>
      </c>
      <c r="M10" s="37"/>
    </row>
    <row r="12" spans="1:12" ht="15">
      <c r="A12" s="54" t="s">
        <v>176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37" t="s">
        <v>1322</v>
      </c>
      <c r="B13" s="37" t="s">
        <v>1391</v>
      </c>
      <c r="C13" s="37" t="s">
        <v>1390</v>
      </c>
      <c r="D13" s="37" t="str">
        <f>"0,7977"</f>
        <v>0,7977</v>
      </c>
      <c r="E13" s="37" t="s">
        <v>17</v>
      </c>
      <c r="F13" s="37" t="s">
        <v>101</v>
      </c>
      <c r="G13" s="37" t="s">
        <v>181</v>
      </c>
      <c r="H13" s="37" t="s">
        <v>1389</v>
      </c>
      <c r="I13" s="38"/>
      <c r="J13" s="38"/>
      <c r="K13" s="37">
        <v>910</v>
      </c>
      <c r="L13" s="37" t="str">
        <f>"725,9070"</f>
        <v>725,9070</v>
      </c>
      <c r="M13" s="37"/>
    </row>
    <row r="15" spans="1:12" ht="15">
      <c r="A15" s="54" t="s">
        <v>191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3" ht="12.75">
      <c r="A16" s="39" t="s">
        <v>1349</v>
      </c>
      <c r="B16" s="39" t="s">
        <v>1388</v>
      </c>
      <c r="C16" s="39" t="s">
        <v>1387</v>
      </c>
      <c r="D16" s="39" t="str">
        <f>"0,7246"</f>
        <v>0,7246</v>
      </c>
      <c r="E16" s="39" t="s">
        <v>17</v>
      </c>
      <c r="F16" s="39" t="s">
        <v>1386</v>
      </c>
      <c r="G16" s="39" t="s">
        <v>182</v>
      </c>
      <c r="H16" s="39" t="s">
        <v>1385</v>
      </c>
      <c r="I16" s="40"/>
      <c r="J16" s="40"/>
      <c r="K16" s="39">
        <v>3407.5</v>
      </c>
      <c r="L16" s="39" t="str">
        <f>"2469,0746"</f>
        <v>2469,0746</v>
      </c>
      <c r="M16" s="39"/>
    </row>
    <row r="17" spans="1:13" ht="12.75">
      <c r="A17" s="43" t="s">
        <v>1346</v>
      </c>
      <c r="B17" s="43" t="s">
        <v>1384</v>
      </c>
      <c r="C17" s="43" t="s">
        <v>1381</v>
      </c>
      <c r="D17" s="43" t="str">
        <f>"0,7393"</f>
        <v>0,7393</v>
      </c>
      <c r="E17" s="43" t="s">
        <v>17</v>
      </c>
      <c r="F17" s="43" t="s">
        <v>101</v>
      </c>
      <c r="G17" s="43" t="s">
        <v>289</v>
      </c>
      <c r="H17" s="43" t="s">
        <v>1383</v>
      </c>
      <c r="I17" s="44"/>
      <c r="J17" s="44"/>
      <c r="K17" s="43">
        <v>3220</v>
      </c>
      <c r="L17" s="43" t="str">
        <f>"2380,3850"</f>
        <v>2380,3850</v>
      </c>
      <c r="M17" s="43"/>
    </row>
    <row r="18" spans="1:13" ht="12.75">
      <c r="A18" s="43" t="s">
        <v>1343</v>
      </c>
      <c r="B18" s="43" t="s">
        <v>1382</v>
      </c>
      <c r="C18" s="43" t="s">
        <v>1381</v>
      </c>
      <c r="D18" s="43" t="str">
        <f>"0,7393"</f>
        <v>0,7393</v>
      </c>
      <c r="E18" s="43" t="s">
        <v>17</v>
      </c>
      <c r="F18" s="43" t="s">
        <v>495</v>
      </c>
      <c r="G18" s="43" t="s">
        <v>289</v>
      </c>
      <c r="H18" s="43" t="s">
        <v>1380</v>
      </c>
      <c r="I18" s="44"/>
      <c r="J18" s="44"/>
      <c r="K18" s="43">
        <v>2870</v>
      </c>
      <c r="L18" s="43" t="str">
        <f>"2121,6475"</f>
        <v>2121,6475</v>
      </c>
      <c r="M18" s="43"/>
    </row>
    <row r="19" spans="1:13" ht="12.75">
      <c r="A19" s="43" t="s">
        <v>1336</v>
      </c>
      <c r="B19" s="43" t="s">
        <v>1379</v>
      </c>
      <c r="C19" s="43" t="s">
        <v>699</v>
      </c>
      <c r="D19" s="43" t="str">
        <f>"0,6913"</f>
        <v>0,6913</v>
      </c>
      <c r="E19" s="43" t="s">
        <v>17</v>
      </c>
      <c r="F19" s="43" t="s">
        <v>1098</v>
      </c>
      <c r="G19" s="43" t="s">
        <v>290</v>
      </c>
      <c r="H19" s="43" t="s">
        <v>1378</v>
      </c>
      <c r="I19" s="44"/>
      <c r="J19" s="44"/>
      <c r="K19" s="43">
        <v>2475</v>
      </c>
      <c r="L19" s="43" t="str">
        <f>"1710,8438"</f>
        <v>1710,8438</v>
      </c>
      <c r="M19" s="43"/>
    </row>
    <row r="20" spans="1:13" ht="12.75">
      <c r="A20" s="41" t="s">
        <v>1333</v>
      </c>
      <c r="B20" s="41" t="s">
        <v>695</v>
      </c>
      <c r="C20" s="41" t="s">
        <v>696</v>
      </c>
      <c r="D20" s="41" t="str">
        <f>"0,6920"</f>
        <v>0,6920</v>
      </c>
      <c r="E20" s="41" t="s">
        <v>315</v>
      </c>
      <c r="F20" s="41" t="s">
        <v>316</v>
      </c>
      <c r="G20" s="41" t="s">
        <v>290</v>
      </c>
      <c r="H20" s="41" t="s">
        <v>1377</v>
      </c>
      <c r="I20" s="42"/>
      <c r="J20" s="42"/>
      <c r="K20" s="41">
        <v>2400</v>
      </c>
      <c r="L20" s="41" t="str">
        <f>"1660,6801"</f>
        <v>1660,6801</v>
      </c>
      <c r="M20" s="41"/>
    </row>
    <row r="22" spans="1:12" ht="15">
      <c r="A22" s="54" t="s">
        <v>28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3" ht="12.75">
      <c r="A23" s="37" t="s">
        <v>1325</v>
      </c>
      <c r="B23" s="37" t="s">
        <v>1376</v>
      </c>
      <c r="C23" s="37" t="s">
        <v>1375</v>
      </c>
      <c r="D23" s="37" t="str">
        <f>"0,6629"</f>
        <v>0,6629</v>
      </c>
      <c r="E23" s="37" t="s">
        <v>17</v>
      </c>
      <c r="F23" s="37" t="s">
        <v>101</v>
      </c>
      <c r="G23" s="37" t="s">
        <v>183</v>
      </c>
      <c r="H23" s="37" t="s">
        <v>1361</v>
      </c>
      <c r="I23" s="38"/>
      <c r="J23" s="38"/>
      <c r="K23" s="37">
        <v>1600</v>
      </c>
      <c r="L23" s="37" t="str">
        <f>"1060,6400"</f>
        <v>1060,6400</v>
      </c>
      <c r="M23" s="37"/>
    </row>
    <row r="25" spans="1:12" ht="15">
      <c r="A25" s="54" t="s">
        <v>52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3" ht="12.75">
      <c r="A26" s="39" t="s">
        <v>1352</v>
      </c>
      <c r="B26" s="39" t="s">
        <v>746</v>
      </c>
      <c r="C26" s="39" t="s">
        <v>747</v>
      </c>
      <c r="D26" s="39" t="str">
        <f>"0,6122"</f>
        <v>0,6122</v>
      </c>
      <c r="E26" s="39" t="s">
        <v>17</v>
      </c>
      <c r="F26" s="39" t="s">
        <v>748</v>
      </c>
      <c r="G26" s="39" t="s">
        <v>23</v>
      </c>
      <c r="H26" s="39" t="s">
        <v>1364</v>
      </c>
      <c r="I26" s="40"/>
      <c r="J26" s="40"/>
      <c r="K26" s="39">
        <v>1980</v>
      </c>
      <c r="L26" s="39" t="str">
        <f>"1212,2549"</f>
        <v>1212,2549</v>
      </c>
      <c r="M26" s="39"/>
    </row>
    <row r="27" spans="1:13" ht="12.75">
      <c r="A27" s="43" t="s">
        <v>1317</v>
      </c>
      <c r="B27" s="43" t="s">
        <v>1374</v>
      </c>
      <c r="C27" s="43" t="s">
        <v>1372</v>
      </c>
      <c r="D27" s="43" t="str">
        <f>"0,6373"</f>
        <v>0,6373</v>
      </c>
      <c r="E27" s="43" t="s">
        <v>17</v>
      </c>
      <c r="F27" s="43" t="s">
        <v>101</v>
      </c>
      <c r="G27" s="43" t="s">
        <v>163</v>
      </c>
      <c r="H27" s="43" t="s">
        <v>1371</v>
      </c>
      <c r="I27" s="44"/>
      <c r="J27" s="44"/>
      <c r="K27" s="43">
        <v>3145</v>
      </c>
      <c r="L27" s="43" t="str">
        <f>"2004,1513"</f>
        <v>2004,1513</v>
      </c>
      <c r="M27" s="43"/>
    </row>
    <row r="28" spans="1:13" ht="12.75">
      <c r="A28" s="41" t="s">
        <v>1317</v>
      </c>
      <c r="B28" s="41" t="s">
        <v>1373</v>
      </c>
      <c r="C28" s="41" t="s">
        <v>1372</v>
      </c>
      <c r="D28" s="41" t="str">
        <f>"0,6570"</f>
        <v>0,6570</v>
      </c>
      <c r="E28" s="41" t="s">
        <v>17</v>
      </c>
      <c r="F28" s="41" t="s">
        <v>101</v>
      </c>
      <c r="G28" s="41" t="s">
        <v>163</v>
      </c>
      <c r="H28" s="41" t="s">
        <v>1371</v>
      </c>
      <c r="I28" s="42"/>
      <c r="J28" s="42"/>
      <c r="K28" s="41">
        <v>3145</v>
      </c>
      <c r="L28" s="41" t="str">
        <f>"2066,2800"</f>
        <v>2066,2800</v>
      </c>
      <c r="M28" s="41"/>
    </row>
    <row r="30" spans="1:12" ht="15">
      <c r="A30" s="54" t="s">
        <v>76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3" ht="12.75">
      <c r="A31" s="39" t="s">
        <v>1370</v>
      </c>
      <c r="B31" s="39" t="s">
        <v>1369</v>
      </c>
      <c r="C31" s="39" t="s">
        <v>210</v>
      </c>
      <c r="D31" s="39" t="str">
        <f>"0,5880"</f>
        <v>0,5880</v>
      </c>
      <c r="E31" s="39" t="s">
        <v>17</v>
      </c>
      <c r="F31" s="39" t="s">
        <v>1368</v>
      </c>
      <c r="G31" s="40" t="s">
        <v>646</v>
      </c>
      <c r="H31" s="40"/>
      <c r="I31" s="40"/>
      <c r="J31" s="40"/>
      <c r="K31" s="39">
        <v>0</v>
      </c>
      <c r="L31" s="39" t="str">
        <f>"0,0000"</f>
        <v>0,0000</v>
      </c>
      <c r="M31" s="39"/>
    </row>
    <row r="32" spans="1:13" ht="12.75">
      <c r="A32" s="41" t="s">
        <v>1314</v>
      </c>
      <c r="B32" s="41" t="s">
        <v>1367</v>
      </c>
      <c r="C32" s="41" t="s">
        <v>1366</v>
      </c>
      <c r="D32" s="41" t="str">
        <f>"0,6156"</f>
        <v>0,6156</v>
      </c>
      <c r="E32" s="41" t="s">
        <v>17</v>
      </c>
      <c r="F32" s="41" t="s">
        <v>1365</v>
      </c>
      <c r="G32" s="41" t="s">
        <v>24</v>
      </c>
      <c r="H32" s="41" t="s">
        <v>1364</v>
      </c>
      <c r="I32" s="42"/>
      <c r="J32" s="42"/>
      <c r="K32" s="41">
        <v>2200</v>
      </c>
      <c r="L32" s="41" t="str">
        <f>"1354,4195"</f>
        <v>1354,4195</v>
      </c>
      <c r="M32" s="41"/>
    </row>
    <row r="34" spans="1:12" ht="15">
      <c r="A34" s="54" t="s">
        <v>88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3" ht="12.75">
      <c r="A35" s="39" t="s">
        <v>1330</v>
      </c>
      <c r="B35" s="39" t="s">
        <v>1363</v>
      </c>
      <c r="C35" s="39" t="s">
        <v>1362</v>
      </c>
      <c r="D35" s="39" t="str">
        <f>"0,5810"</f>
        <v>0,5810</v>
      </c>
      <c r="E35" s="39" t="s">
        <v>17</v>
      </c>
      <c r="F35" s="39" t="s">
        <v>1067</v>
      </c>
      <c r="G35" s="39" t="s">
        <v>25</v>
      </c>
      <c r="H35" s="39" t="s">
        <v>1361</v>
      </c>
      <c r="I35" s="40"/>
      <c r="J35" s="40"/>
      <c r="K35" s="39">
        <v>2050</v>
      </c>
      <c r="L35" s="39" t="str">
        <f>"1191,1525"</f>
        <v>1191,1525</v>
      </c>
      <c r="M35" s="39"/>
    </row>
    <row r="36" spans="1:13" ht="12.75">
      <c r="A36" s="43" t="s">
        <v>1250</v>
      </c>
      <c r="B36" s="43" t="s">
        <v>1251</v>
      </c>
      <c r="C36" s="43" t="s">
        <v>1252</v>
      </c>
      <c r="D36" s="43" t="str">
        <f>"0,5638"</f>
        <v>0,5638</v>
      </c>
      <c r="E36" s="43" t="s">
        <v>17</v>
      </c>
      <c r="F36" s="43" t="s">
        <v>1253</v>
      </c>
      <c r="G36" s="43" t="s">
        <v>67</v>
      </c>
      <c r="H36" s="43" t="s">
        <v>1360</v>
      </c>
      <c r="I36" s="44"/>
      <c r="J36" s="44"/>
      <c r="K36" s="43">
        <v>2090</v>
      </c>
      <c r="L36" s="43" t="str">
        <f>"1178,3420"</f>
        <v>1178,3420</v>
      </c>
      <c r="M36" s="43"/>
    </row>
    <row r="37" spans="1:13" ht="12.75">
      <c r="A37" s="41" t="s">
        <v>1250</v>
      </c>
      <c r="B37" s="41" t="s">
        <v>1254</v>
      </c>
      <c r="C37" s="41" t="s">
        <v>1252</v>
      </c>
      <c r="D37" s="41" t="str">
        <f>"0,5880"</f>
        <v>0,5880</v>
      </c>
      <c r="E37" s="41" t="s">
        <v>17</v>
      </c>
      <c r="F37" s="41" t="s">
        <v>1253</v>
      </c>
      <c r="G37" s="41" t="s">
        <v>33</v>
      </c>
      <c r="H37" s="41" t="s">
        <v>1360</v>
      </c>
      <c r="I37" s="42"/>
      <c r="J37" s="42"/>
      <c r="K37" s="41">
        <v>4180</v>
      </c>
      <c r="L37" s="41" t="str">
        <f>"2458,0214"</f>
        <v>2458,0214</v>
      </c>
      <c r="M37" s="41"/>
    </row>
    <row r="39" spans="1:12" ht="15">
      <c r="A39" s="54" t="s">
        <v>107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3" ht="12.75">
      <c r="A40" s="37" t="s">
        <v>1339</v>
      </c>
      <c r="B40" s="37" t="s">
        <v>1359</v>
      </c>
      <c r="C40" s="37" t="s">
        <v>1358</v>
      </c>
      <c r="D40" s="37" t="str">
        <f>"0,5445"</f>
        <v>0,5445</v>
      </c>
      <c r="E40" s="37" t="s">
        <v>17</v>
      </c>
      <c r="F40" s="37" t="s">
        <v>101</v>
      </c>
      <c r="G40" s="37" t="s">
        <v>294</v>
      </c>
      <c r="H40" s="37" t="s">
        <v>1357</v>
      </c>
      <c r="I40" s="38"/>
      <c r="J40" s="38"/>
      <c r="K40" s="37">
        <v>3315</v>
      </c>
      <c r="L40" s="37" t="str">
        <f>"1804,9513"</f>
        <v>1804,9513</v>
      </c>
      <c r="M40" s="37"/>
    </row>
    <row r="42" ht="15">
      <c r="E42" s="35" t="s">
        <v>113</v>
      </c>
    </row>
    <row r="43" ht="15">
      <c r="E43" s="35" t="s">
        <v>114</v>
      </c>
    </row>
    <row r="44" ht="15">
      <c r="E44" s="35" t="s">
        <v>115</v>
      </c>
    </row>
    <row r="45" ht="12.75">
      <c r="E45" s="34" t="s">
        <v>116</v>
      </c>
    </row>
    <row r="46" ht="12.75">
      <c r="E46" s="34" t="s">
        <v>117</v>
      </c>
    </row>
    <row r="47" ht="12.75">
      <c r="E47" s="34" t="s">
        <v>118</v>
      </c>
    </row>
    <row r="50" spans="1:2" ht="17.25">
      <c r="A50" s="36" t="s">
        <v>119</v>
      </c>
      <c r="B50" s="36"/>
    </row>
    <row r="51" spans="1:2" ht="15">
      <c r="A51" s="45" t="s">
        <v>231</v>
      </c>
      <c r="B51" s="45"/>
    </row>
    <row r="52" spans="1:2" ht="14.25">
      <c r="A52" s="47" t="s">
        <v>132</v>
      </c>
      <c r="B52" s="48"/>
    </row>
    <row r="53" spans="1:5" ht="13.5">
      <c r="A53" s="49" t="s">
        <v>0</v>
      </c>
      <c r="B53" s="49" t="s">
        <v>122</v>
      </c>
      <c r="C53" s="49" t="s">
        <v>123</v>
      </c>
      <c r="D53" s="49" t="s">
        <v>7</v>
      </c>
      <c r="E53" s="49" t="s">
        <v>124</v>
      </c>
    </row>
    <row r="54" spans="1:5" ht="12.75">
      <c r="A54" s="46" t="s">
        <v>643</v>
      </c>
      <c r="B54" s="34" t="s">
        <v>132</v>
      </c>
      <c r="C54" s="34" t="s">
        <v>232</v>
      </c>
      <c r="D54" s="34" t="s">
        <v>1356</v>
      </c>
      <c r="E54" s="50" t="s">
        <v>1355</v>
      </c>
    </row>
    <row r="55" spans="1:5" ht="12.75">
      <c r="A55" s="46" t="s">
        <v>286</v>
      </c>
      <c r="B55" s="34" t="s">
        <v>132</v>
      </c>
      <c r="C55" s="34" t="s">
        <v>422</v>
      </c>
      <c r="D55" s="34" t="s">
        <v>1354</v>
      </c>
      <c r="E55" s="50" t="s">
        <v>1353</v>
      </c>
    </row>
    <row r="58" spans="1:2" ht="15">
      <c r="A58" s="45" t="s">
        <v>120</v>
      </c>
      <c r="B58" s="45"/>
    </row>
    <row r="59" spans="1:2" ht="14.25">
      <c r="A59" s="47" t="s">
        <v>121</v>
      </c>
      <c r="B59" s="48"/>
    </row>
    <row r="60" spans="1:5" ht="13.5">
      <c r="A60" s="49" t="s">
        <v>0</v>
      </c>
      <c r="B60" s="49" t="s">
        <v>122</v>
      </c>
      <c r="C60" s="49" t="s">
        <v>123</v>
      </c>
      <c r="D60" s="49" t="s">
        <v>7</v>
      </c>
      <c r="E60" s="49" t="s">
        <v>124</v>
      </c>
    </row>
    <row r="61" spans="1:5" ht="12.75">
      <c r="A61" s="46" t="s">
        <v>1352</v>
      </c>
      <c r="B61" s="34" t="s">
        <v>125</v>
      </c>
      <c r="C61" s="34" t="s">
        <v>126</v>
      </c>
      <c r="D61" s="34" t="s">
        <v>1351</v>
      </c>
      <c r="E61" s="50" t="s">
        <v>1350</v>
      </c>
    </row>
    <row r="63" spans="1:2" ht="14.25">
      <c r="A63" s="47" t="s">
        <v>132</v>
      </c>
      <c r="B63" s="48"/>
    </row>
    <row r="64" spans="1:5" ht="13.5">
      <c r="A64" s="49" t="s">
        <v>0</v>
      </c>
      <c r="B64" s="49" t="s">
        <v>122</v>
      </c>
      <c r="C64" s="49" t="s">
        <v>123</v>
      </c>
      <c r="D64" s="49" t="s">
        <v>7</v>
      </c>
      <c r="E64" s="49" t="s">
        <v>124</v>
      </c>
    </row>
    <row r="65" spans="1:5" ht="12.75">
      <c r="A65" s="46" t="s">
        <v>1349</v>
      </c>
      <c r="B65" s="34" t="s">
        <v>132</v>
      </c>
      <c r="C65" s="34" t="s">
        <v>235</v>
      </c>
      <c r="D65" s="34" t="s">
        <v>1348</v>
      </c>
      <c r="E65" s="50" t="s">
        <v>1347</v>
      </c>
    </row>
    <row r="66" spans="1:5" ht="12.75">
      <c r="A66" s="46" t="s">
        <v>1346</v>
      </c>
      <c r="B66" s="34" t="s">
        <v>132</v>
      </c>
      <c r="C66" s="34" t="s">
        <v>235</v>
      </c>
      <c r="D66" s="34" t="s">
        <v>1345</v>
      </c>
      <c r="E66" s="50" t="s">
        <v>1344</v>
      </c>
    </row>
    <row r="67" spans="1:5" ht="12.75">
      <c r="A67" s="46" t="s">
        <v>1343</v>
      </c>
      <c r="B67" s="34" t="s">
        <v>132</v>
      </c>
      <c r="C67" s="34" t="s">
        <v>235</v>
      </c>
      <c r="D67" s="34" t="s">
        <v>1342</v>
      </c>
      <c r="E67" s="50" t="s">
        <v>1341</v>
      </c>
    </row>
    <row r="68" spans="1:5" ht="12.75">
      <c r="A68" s="46" t="s">
        <v>1317</v>
      </c>
      <c r="B68" s="34" t="s">
        <v>132</v>
      </c>
      <c r="C68" s="34" t="s">
        <v>126</v>
      </c>
      <c r="D68" s="34" t="s">
        <v>1316</v>
      </c>
      <c r="E68" s="50" t="s">
        <v>1340</v>
      </c>
    </row>
    <row r="69" spans="1:5" ht="12.75">
      <c r="A69" s="46" t="s">
        <v>1339</v>
      </c>
      <c r="B69" s="34" t="s">
        <v>132</v>
      </c>
      <c r="C69" s="34" t="s">
        <v>136</v>
      </c>
      <c r="D69" s="34" t="s">
        <v>1338</v>
      </c>
      <c r="E69" s="50" t="s">
        <v>1337</v>
      </c>
    </row>
    <row r="70" spans="1:5" ht="12.75">
      <c r="A70" s="46" t="s">
        <v>1336</v>
      </c>
      <c r="B70" s="34" t="s">
        <v>132</v>
      </c>
      <c r="C70" s="34" t="s">
        <v>235</v>
      </c>
      <c r="D70" s="34" t="s">
        <v>1335</v>
      </c>
      <c r="E70" s="50" t="s">
        <v>1334</v>
      </c>
    </row>
    <row r="71" spans="1:5" ht="12.75">
      <c r="A71" s="46" t="s">
        <v>1333</v>
      </c>
      <c r="B71" s="34" t="s">
        <v>132</v>
      </c>
      <c r="C71" s="34" t="s">
        <v>235</v>
      </c>
      <c r="D71" s="34" t="s">
        <v>1332</v>
      </c>
      <c r="E71" s="50" t="s">
        <v>1331</v>
      </c>
    </row>
    <row r="72" spans="1:5" ht="12.75">
      <c r="A72" s="46" t="s">
        <v>1330</v>
      </c>
      <c r="B72" s="34" t="s">
        <v>132</v>
      </c>
      <c r="C72" s="34" t="s">
        <v>133</v>
      </c>
      <c r="D72" s="34" t="s">
        <v>1329</v>
      </c>
      <c r="E72" s="50" t="s">
        <v>1328</v>
      </c>
    </row>
    <row r="73" spans="1:5" ht="12.75">
      <c r="A73" s="46" t="s">
        <v>1250</v>
      </c>
      <c r="B73" s="34" t="s">
        <v>132</v>
      </c>
      <c r="C73" s="34" t="s">
        <v>133</v>
      </c>
      <c r="D73" s="34" t="s">
        <v>1327</v>
      </c>
      <c r="E73" s="50" t="s">
        <v>1326</v>
      </c>
    </row>
    <row r="74" spans="1:5" ht="12.75">
      <c r="A74" s="46" t="s">
        <v>1325</v>
      </c>
      <c r="B74" s="34" t="s">
        <v>132</v>
      </c>
      <c r="C74" s="34" t="s">
        <v>139</v>
      </c>
      <c r="D74" s="34" t="s">
        <v>1324</v>
      </c>
      <c r="E74" s="50" t="s">
        <v>1323</v>
      </c>
    </row>
    <row r="75" spans="1:5" ht="12.75">
      <c r="A75" s="46" t="s">
        <v>1322</v>
      </c>
      <c r="B75" s="34" t="s">
        <v>132</v>
      </c>
      <c r="C75" s="34" t="s">
        <v>232</v>
      </c>
      <c r="D75" s="34" t="s">
        <v>1321</v>
      </c>
      <c r="E75" s="50" t="s">
        <v>1320</v>
      </c>
    </row>
    <row r="77" spans="1:2" ht="14.25">
      <c r="A77" s="47" t="s">
        <v>152</v>
      </c>
      <c r="B77" s="48"/>
    </row>
    <row r="78" spans="1:5" ht="13.5">
      <c r="A78" s="49" t="s">
        <v>0</v>
      </c>
      <c r="B78" s="49" t="s">
        <v>122</v>
      </c>
      <c r="C78" s="49" t="s">
        <v>123</v>
      </c>
      <c r="D78" s="49" t="s">
        <v>7</v>
      </c>
      <c r="E78" s="49" t="s">
        <v>124</v>
      </c>
    </row>
    <row r="79" spans="1:5" ht="12.75">
      <c r="A79" s="46" t="s">
        <v>1250</v>
      </c>
      <c r="B79" s="34" t="s">
        <v>153</v>
      </c>
      <c r="C79" s="34" t="s">
        <v>133</v>
      </c>
      <c r="D79" s="34" t="s">
        <v>1319</v>
      </c>
      <c r="E79" s="50" t="s">
        <v>1318</v>
      </c>
    </row>
    <row r="80" spans="1:5" ht="12.75">
      <c r="A80" s="46" t="s">
        <v>1317</v>
      </c>
      <c r="B80" s="34" t="s">
        <v>153</v>
      </c>
      <c r="C80" s="34" t="s">
        <v>126</v>
      </c>
      <c r="D80" s="34" t="s">
        <v>1316</v>
      </c>
      <c r="E80" s="50" t="s">
        <v>1315</v>
      </c>
    </row>
    <row r="81" spans="1:5" ht="12.75">
      <c r="A81" s="46" t="s">
        <v>1314</v>
      </c>
      <c r="B81" s="34" t="s">
        <v>155</v>
      </c>
      <c r="C81" s="34" t="s">
        <v>149</v>
      </c>
      <c r="D81" s="34" t="s">
        <v>1313</v>
      </c>
      <c r="E81" s="50" t="s">
        <v>1312</v>
      </c>
    </row>
  </sheetData>
  <sheetProtection/>
  <mergeCells count="20">
    <mergeCell ref="A25:L25"/>
    <mergeCell ref="A30:L30"/>
    <mergeCell ref="A34:L34"/>
    <mergeCell ref="A39:L39"/>
    <mergeCell ref="M3:M4"/>
    <mergeCell ref="A5:L5"/>
    <mergeCell ref="A9:L9"/>
    <mergeCell ref="A12:L12"/>
    <mergeCell ref="A15:L15"/>
    <mergeCell ref="A22:L2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="85" zoomScaleNormal="85" zoomScalePageLayoutView="0" workbookViewId="0" topLeftCell="A1">
      <selection activeCell="P6" sqref="P6"/>
    </sheetView>
  </sheetViews>
  <sheetFormatPr defaultColWidth="9.125" defaultRowHeight="12.75"/>
  <cols>
    <col min="1" max="1" width="30.375" style="6" bestFit="1" customWidth="1"/>
    <col min="2" max="2" width="26.875" style="5" bestFit="1" customWidth="1"/>
    <col min="3" max="3" width="7.625" style="5" bestFit="1" customWidth="1"/>
    <col min="4" max="4" width="6.875" style="5" bestFit="1" customWidth="1"/>
    <col min="5" max="5" width="20.625" style="8" bestFit="1" customWidth="1"/>
    <col min="6" max="6" width="32.00390625" style="8" bestFit="1" customWidth="1"/>
    <col min="7" max="17" width="5.50390625" style="5" bestFit="1" customWidth="1"/>
    <col min="18" max="18" width="4.875" style="5" bestFit="1" customWidth="1"/>
    <col min="19" max="19" width="6.625" style="6" bestFit="1" customWidth="1"/>
    <col min="20" max="20" width="8.50390625" style="5" bestFit="1" customWidth="1"/>
    <col min="21" max="21" width="7.50390625" style="8" bestFit="1" customWidth="1"/>
    <col min="22" max="16384" width="9.125" style="1" customWidth="1"/>
  </cols>
  <sheetData>
    <row r="1" spans="1:21" ht="36" customHeight="1">
      <c r="A1" s="55" t="s">
        <v>1451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ht="60.7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7" customFormat="1" ht="36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4</v>
      </c>
      <c r="H3" s="65"/>
      <c r="I3" s="65"/>
      <c r="J3" s="51"/>
      <c r="K3" s="61" t="s">
        <v>5</v>
      </c>
      <c r="L3" s="65"/>
      <c r="M3" s="65"/>
      <c r="N3" s="51"/>
      <c r="O3" s="61" t="s">
        <v>6</v>
      </c>
      <c r="P3" s="65"/>
      <c r="Q3" s="65"/>
      <c r="R3" s="51"/>
      <c r="S3" s="66" t="s">
        <v>7</v>
      </c>
      <c r="T3" s="65" t="s">
        <v>9</v>
      </c>
      <c r="U3" s="51" t="s">
        <v>8</v>
      </c>
    </row>
    <row r="4" spans="1:21" s="7" customFormat="1" ht="36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67"/>
      <c r="T4" s="64"/>
      <c r="U4" s="52"/>
    </row>
    <row r="5" spans="1:21" s="5" customFormat="1" ht="15">
      <c r="A5" s="72" t="s">
        <v>13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8"/>
    </row>
    <row r="6" spans="1:21" s="5" customFormat="1" ht="12.75">
      <c r="A6" s="9" t="s">
        <v>14</v>
      </c>
      <c r="B6" s="10" t="s">
        <v>15</v>
      </c>
      <c r="C6" s="10" t="s">
        <v>16</v>
      </c>
      <c r="D6" s="10" t="str">
        <f>"0,8641"</f>
        <v>0,8641</v>
      </c>
      <c r="E6" s="11" t="s">
        <v>17</v>
      </c>
      <c r="F6" s="11" t="s">
        <v>18</v>
      </c>
      <c r="G6" s="10" t="s">
        <v>19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24</v>
      </c>
      <c r="M6" s="10" t="s">
        <v>25</v>
      </c>
      <c r="N6" s="12" t="s">
        <v>26</v>
      </c>
      <c r="O6" s="10" t="s">
        <v>20</v>
      </c>
      <c r="P6" s="10" t="s">
        <v>27</v>
      </c>
      <c r="Q6" s="10" t="s">
        <v>22</v>
      </c>
      <c r="R6" s="12"/>
      <c r="S6" s="9">
        <v>487.5</v>
      </c>
      <c r="T6" s="10" t="str">
        <f>"421,2731"</f>
        <v>421,2731</v>
      </c>
      <c r="U6" s="11"/>
    </row>
    <row r="7" spans="1:21" s="5" customFormat="1" ht="12.75">
      <c r="A7" s="6"/>
      <c r="E7" s="8"/>
      <c r="F7" s="8"/>
      <c r="S7" s="6"/>
      <c r="U7" s="8"/>
    </row>
    <row r="8" spans="1:20" ht="15">
      <c r="A8" s="70" t="s">
        <v>28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0"/>
      <c r="T8" s="71"/>
    </row>
    <row r="9" spans="1:21" ht="12.75">
      <c r="A9" s="17" t="s">
        <v>29</v>
      </c>
      <c r="B9" s="14" t="s">
        <v>30</v>
      </c>
      <c r="C9" s="14" t="s">
        <v>31</v>
      </c>
      <c r="D9" s="14" t="str">
        <f>"0,6535"</f>
        <v>0,6535</v>
      </c>
      <c r="E9" s="18" t="s">
        <v>17</v>
      </c>
      <c r="F9" s="18" t="s">
        <v>32</v>
      </c>
      <c r="G9" s="14" t="s">
        <v>33</v>
      </c>
      <c r="H9" s="14" t="s">
        <v>34</v>
      </c>
      <c r="I9" s="14" t="s">
        <v>35</v>
      </c>
      <c r="J9" s="19"/>
      <c r="K9" s="14" t="s">
        <v>36</v>
      </c>
      <c r="L9" s="14" t="s">
        <v>37</v>
      </c>
      <c r="M9" s="19" t="s">
        <v>38</v>
      </c>
      <c r="N9" s="19"/>
      <c r="O9" s="14" t="s">
        <v>22</v>
      </c>
      <c r="P9" s="14" t="s">
        <v>39</v>
      </c>
      <c r="Q9" s="14" t="s">
        <v>40</v>
      </c>
      <c r="R9" s="19"/>
      <c r="S9" s="17">
        <v>622.5</v>
      </c>
      <c r="T9" s="14" t="str">
        <f>"406,7726"</f>
        <v>406,7726</v>
      </c>
      <c r="U9" s="18"/>
    </row>
    <row r="10" spans="1:21" ht="12.75">
      <c r="A10" s="20" t="s">
        <v>41</v>
      </c>
      <c r="B10" s="15" t="s">
        <v>42</v>
      </c>
      <c r="C10" s="15" t="s">
        <v>43</v>
      </c>
      <c r="D10" s="15" t="str">
        <f>"0,6567"</f>
        <v>0,6567</v>
      </c>
      <c r="E10" s="21" t="s">
        <v>44</v>
      </c>
      <c r="F10" s="21" t="s">
        <v>45</v>
      </c>
      <c r="G10" s="15" t="s">
        <v>21</v>
      </c>
      <c r="H10" s="15" t="s">
        <v>22</v>
      </c>
      <c r="I10" s="15" t="s">
        <v>46</v>
      </c>
      <c r="J10" s="22"/>
      <c r="K10" s="15" t="s">
        <v>47</v>
      </c>
      <c r="L10" s="15" t="s">
        <v>48</v>
      </c>
      <c r="M10" s="22" t="s">
        <v>49</v>
      </c>
      <c r="N10" s="22"/>
      <c r="O10" s="15" t="s">
        <v>22</v>
      </c>
      <c r="P10" s="15" t="s">
        <v>50</v>
      </c>
      <c r="Q10" s="15" t="s">
        <v>51</v>
      </c>
      <c r="R10" s="22"/>
      <c r="S10" s="20">
        <v>580</v>
      </c>
      <c r="T10" s="15" t="str">
        <f>"380,8860"</f>
        <v>380,8860</v>
      </c>
      <c r="U10" s="21"/>
    </row>
    <row r="12" spans="1:20" ht="15">
      <c r="A12" s="70" t="s">
        <v>52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0"/>
      <c r="T12" s="71"/>
    </row>
    <row r="13" spans="1:21" ht="12.75">
      <c r="A13" s="17" t="s">
        <v>53</v>
      </c>
      <c r="B13" s="14" t="s">
        <v>54</v>
      </c>
      <c r="C13" s="14" t="s">
        <v>55</v>
      </c>
      <c r="D13" s="14" t="str">
        <f>"0,6234"</f>
        <v>0,6234</v>
      </c>
      <c r="E13" s="18" t="s">
        <v>17</v>
      </c>
      <c r="F13" s="18" t="s">
        <v>18</v>
      </c>
      <c r="G13" s="14" t="s">
        <v>56</v>
      </c>
      <c r="H13" s="19" t="s">
        <v>57</v>
      </c>
      <c r="I13" s="14" t="s">
        <v>58</v>
      </c>
      <c r="J13" s="19"/>
      <c r="K13" s="14" t="s">
        <v>36</v>
      </c>
      <c r="L13" s="19" t="s">
        <v>49</v>
      </c>
      <c r="M13" s="19" t="s">
        <v>49</v>
      </c>
      <c r="N13" s="19"/>
      <c r="O13" s="14" t="s">
        <v>59</v>
      </c>
      <c r="P13" s="14" t="s">
        <v>60</v>
      </c>
      <c r="Q13" s="19" t="s">
        <v>61</v>
      </c>
      <c r="R13" s="19"/>
      <c r="S13" s="17">
        <v>712.5</v>
      </c>
      <c r="T13" s="14" t="str">
        <f>"444,1725"</f>
        <v>444,1725</v>
      </c>
      <c r="U13" s="18"/>
    </row>
    <row r="14" spans="1:21" ht="12.75">
      <c r="A14" s="23" t="s">
        <v>62</v>
      </c>
      <c r="B14" s="16" t="s">
        <v>63</v>
      </c>
      <c r="C14" s="16" t="s">
        <v>64</v>
      </c>
      <c r="D14" s="16" t="str">
        <f>"0,6209"</f>
        <v>0,6209</v>
      </c>
      <c r="E14" s="24" t="s">
        <v>17</v>
      </c>
      <c r="F14" s="24" t="s">
        <v>65</v>
      </c>
      <c r="G14" s="16" t="s">
        <v>20</v>
      </c>
      <c r="H14" s="16" t="s">
        <v>66</v>
      </c>
      <c r="I14" s="16" t="s">
        <v>22</v>
      </c>
      <c r="J14" s="25"/>
      <c r="K14" s="16" t="s">
        <v>67</v>
      </c>
      <c r="L14" s="16" t="s">
        <v>68</v>
      </c>
      <c r="M14" s="25" t="s">
        <v>69</v>
      </c>
      <c r="N14" s="25"/>
      <c r="O14" s="25" t="s">
        <v>70</v>
      </c>
      <c r="P14" s="16" t="s">
        <v>71</v>
      </c>
      <c r="Q14" s="16" t="s">
        <v>56</v>
      </c>
      <c r="R14" s="25"/>
      <c r="S14" s="23">
        <v>575</v>
      </c>
      <c r="T14" s="16" t="str">
        <f>"357,0175"</f>
        <v>357,0175</v>
      </c>
      <c r="U14" s="24"/>
    </row>
    <row r="15" spans="1:21" ht="12.75">
      <c r="A15" s="20" t="s">
        <v>72</v>
      </c>
      <c r="B15" s="15" t="s">
        <v>73</v>
      </c>
      <c r="C15" s="15" t="s">
        <v>74</v>
      </c>
      <c r="D15" s="15" t="str">
        <f>"0,6406"</f>
        <v>0,6406</v>
      </c>
      <c r="E15" s="21" t="s">
        <v>17</v>
      </c>
      <c r="F15" s="21" t="s">
        <v>75</v>
      </c>
      <c r="G15" s="22" t="s">
        <v>20</v>
      </c>
      <c r="H15" s="22" t="s">
        <v>22</v>
      </c>
      <c r="I15" s="22" t="s">
        <v>22</v>
      </c>
      <c r="J15" s="22"/>
      <c r="K15" s="22" t="s">
        <v>36</v>
      </c>
      <c r="L15" s="22"/>
      <c r="M15" s="22"/>
      <c r="N15" s="22"/>
      <c r="O15" s="22" t="s">
        <v>70</v>
      </c>
      <c r="P15" s="22"/>
      <c r="Q15" s="22"/>
      <c r="R15" s="22"/>
      <c r="S15" s="20">
        <v>0</v>
      </c>
      <c r="T15" s="15" t="str">
        <f>"0,0000"</f>
        <v>0,0000</v>
      </c>
      <c r="U15" s="21"/>
    </row>
    <row r="17" spans="1:20" ht="15">
      <c r="A17" s="70" t="s">
        <v>76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0"/>
      <c r="T17" s="71"/>
    </row>
    <row r="18" spans="1:21" ht="12.75">
      <c r="A18" s="17" t="s">
        <v>77</v>
      </c>
      <c r="B18" s="14" t="s">
        <v>78</v>
      </c>
      <c r="C18" s="14" t="s">
        <v>79</v>
      </c>
      <c r="D18" s="14" t="str">
        <f>"0,5846"</f>
        <v>0,5846</v>
      </c>
      <c r="E18" s="18" t="s">
        <v>17</v>
      </c>
      <c r="F18" s="18" t="s">
        <v>18</v>
      </c>
      <c r="G18" s="14" t="s">
        <v>51</v>
      </c>
      <c r="H18" s="14" t="s">
        <v>80</v>
      </c>
      <c r="I18" s="19"/>
      <c r="J18" s="19"/>
      <c r="K18" s="14" t="s">
        <v>36</v>
      </c>
      <c r="L18" s="19" t="s">
        <v>49</v>
      </c>
      <c r="M18" s="14" t="s">
        <v>37</v>
      </c>
      <c r="N18" s="19"/>
      <c r="O18" s="14" t="s">
        <v>22</v>
      </c>
      <c r="P18" s="19"/>
      <c r="Q18" s="19"/>
      <c r="R18" s="19"/>
      <c r="S18" s="17">
        <v>592.5</v>
      </c>
      <c r="T18" s="14" t="str">
        <f>"346,3459"</f>
        <v>346,3459</v>
      </c>
      <c r="U18" s="18"/>
    </row>
    <row r="19" spans="1:21" ht="12.75">
      <c r="A19" s="23" t="s">
        <v>77</v>
      </c>
      <c r="B19" s="16" t="s">
        <v>81</v>
      </c>
      <c r="C19" s="16" t="s">
        <v>79</v>
      </c>
      <c r="D19" s="16" t="str">
        <f>"0,5904"</f>
        <v>0,5904</v>
      </c>
      <c r="E19" s="24" t="s">
        <v>17</v>
      </c>
      <c r="F19" s="24" t="s">
        <v>18</v>
      </c>
      <c r="G19" s="16" t="s">
        <v>51</v>
      </c>
      <c r="H19" s="16" t="s">
        <v>80</v>
      </c>
      <c r="I19" s="25"/>
      <c r="J19" s="25"/>
      <c r="K19" s="16" t="s">
        <v>36</v>
      </c>
      <c r="L19" s="25" t="s">
        <v>49</v>
      </c>
      <c r="M19" s="16" t="s">
        <v>37</v>
      </c>
      <c r="N19" s="25"/>
      <c r="O19" s="16" t="s">
        <v>22</v>
      </c>
      <c r="P19" s="25"/>
      <c r="Q19" s="25"/>
      <c r="R19" s="25"/>
      <c r="S19" s="23">
        <v>592.5</v>
      </c>
      <c r="T19" s="16" t="str">
        <f>"349,8093"</f>
        <v>349,8093</v>
      </c>
      <c r="U19" s="24"/>
    </row>
    <row r="20" spans="1:21" ht="12.75">
      <c r="A20" s="20" t="s">
        <v>82</v>
      </c>
      <c r="B20" s="15" t="s">
        <v>83</v>
      </c>
      <c r="C20" s="15" t="s">
        <v>84</v>
      </c>
      <c r="D20" s="15" t="str">
        <f>"0,6377"</f>
        <v>0,6377</v>
      </c>
      <c r="E20" s="21" t="s">
        <v>85</v>
      </c>
      <c r="F20" s="21" t="s">
        <v>86</v>
      </c>
      <c r="G20" s="15" t="s">
        <v>19</v>
      </c>
      <c r="H20" s="15" t="s">
        <v>20</v>
      </c>
      <c r="I20" s="15" t="s">
        <v>27</v>
      </c>
      <c r="J20" s="22"/>
      <c r="K20" s="15" t="s">
        <v>87</v>
      </c>
      <c r="L20" s="22" t="s">
        <v>68</v>
      </c>
      <c r="M20" s="15" t="s">
        <v>68</v>
      </c>
      <c r="N20" s="22"/>
      <c r="O20" s="15" t="s">
        <v>66</v>
      </c>
      <c r="P20" s="15" t="s">
        <v>70</v>
      </c>
      <c r="Q20" s="15" t="s">
        <v>33</v>
      </c>
      <c r="R20" s="22"/>
      <c r="S20" s="20">
        <v>540</v>
      </c>
      <c r="T20" s="15" t="str">
        <f>"344,3746"</f>
        <v>344,3746</v>
      </c>
      <c r="U20" s="21"/>
    </row>
    <row r="22" spans="1:20" ht="15">
      <c r="A22" s="70" t="s">
        <v>88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0"/>
      <c r="T22" s="71"/>
    </row>
    <row r="23" spans="1:21" ht="12.75">
      <c r="A23" s="9" t="s">
        <v>89</v>
      </c>
      <c r="B23" s="10" t="s">
        <v>90</v>
      </c>
      <c r="C23" s="10" t="s">
        <v>91</v>
      </c>
      <c r="D23" s="10" t="str">
        <f>"0,5625"</f>
        <v>0,5625</v>
      </c>
      <c r="E23" s="11" t="s">
        <v>85</v>
      </c>
      <c r="F23" s="11" t="s">
        <v>92</v>
      </c>
      <c r="G23" s="10" t="s">
        <v>93</v>
      </c>
      <c r="H23" s="10" t="s">
        <v>59</v>
      </c>
      <c r="I23" s="10" t="s">
        <v>94</v>
      </c>
      <c r="J23" s="12"/>
      <c r="K23" s="10" t="s">
        <v>20</v>
      </c>
      <c r="L23" s="10" t="s">
        <v>66</v>
      </c>
      <c r="M23" s="10" t="s">
        <v>27</v>
      </c>
      <c r="N23" s="12"/>
      <c r="O23" s="10" t="s">
        <v>95</v>
      </c>
      <c r="P23" s="10" t="s">
        <v>96</v>
      </c>
      <c r="Q23" s="12" t="s">
        <v>59</v>
      </c>
      <c r="R23" s="12"/>
      <c r="S23" s="9">
        <v>775</v>
      </c>
      <c r="T23" s="10" t="str">
        <f>"435,9375"</f>
        <v>435,9375</v>
      </c>
      <c r="U23" s="11"/>
    </row>
    <row r="25" spans="1:20" ht="15">
      <c r="A25" s="70" t="s">
        <v>97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0"/>
      <c r="T25" s="71"/>
    </row>
    <row r="26" spans="1:21" ht="12.75">
      <c r="A26" s="9" t="s">
        <v>98</v>
      </c>
      <c r="B26" s="10" t="s">
        <v>99</v>
      </c>
      <c r="C26" s="10" t="s">
        <v>100</v>
      </c>
      <c r="D26" s="10" t="str">
        <f>"0,5594"</f>
        <v>0,5594</v>
      </c>
      <c r="E26" s="11" t="s">
        <v>17</v>
      </c>
      <c r="F26" s="11" t="s">
        <v>101</v>
      </c>
      <c r="G26" s="10" t="s">
        <v>102</v>
      </c>
      <c r="H26" s="12" t="s">
        <v>57</v>
      </c>
      <c r="I26" s="12" t="s">
        <v>58</v>
      </c>
      <c r="J26" s="12"/>
      <c r="K26" s="12" t="s">
        <v>19</v>
      </c>
      <c r="L26" s="10" t="s">
        <v>103</v>
      </c>
      <c r="M26" s="12" t="s">
        <v>104</v>
      </c>
      <c r="N26" s="12"/>
      <c r="O26" s="10" t="s">
        <v>95</v>
      </c>
      <c r="P26" s="10" t="s">
        <v>105</v>
      </c>
      <c r="Q26" s="10" t="s">
        <v>106</v>
      </c>
      <c r="R26" s="12"/>
      <c r="S26" s="9">
        <v>695</v>
      </c>
      <c r="T26" s="10" t="str">
        <f>"388,7830"</f>
        <v>388,7830</v>
      </c>
      <c r="U26" s="11"/>
    </row>
    <row r="28" spans="1:20" ht="15">
      <c r="A28" s="70" t="s">
        <v>107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0"/>
      <c r="T28" s="71"/>
    </row>
    <row r="29" spans="1:21" ht="12.75">
      <c r="A29" s="9" t="s">
        <v>108</v>
      </c>
      <c r="B29" s="10" t="s">
        <v>109</v>
      </c>
      <c r="C29" s="10" t="s">
        <v>110</v>
      </c>
      <c r="D29" s="10" t="str">
        <f>"0,5436"</f>
        <v>0,5436</v>
      </c>
      <c r="E29" s="11" t="s">
        <v>17</v>
      </c>
      <c r="F29" s="11" t="s">
        <v>18</v>
      </c>
      <c r="G29" s="10" t="s">
        <v>111</v>
      </c>
      <c r="H29" s="12" t="s">
        <v>112</v>
      </c>
      <c r="I29" s="10" t="s">
        <v>112</v>
      </c>
      <c r="J29" s="12"/>
      <c r="K29" s="10" t="s">
        <v>36</v>
      </c>
      <c r="L29" s="12" t="s">
        <v>49</v>
      </c>
      <c r="M29" s="10" t="s">
        <v>49</v>
      </c>
      <c r="N29" s="12"/>
      <c r="O29" s="10" t="s">
        <v>59</v>
      </c>
      <c r="P29" s="12" t="s">
        <v>94</v>
      </c>
      <c r="Q29" s="12"/>
      <c r="R29" s="12"/>
      <c r="S29" s="9">
        <v>750</v>
      </c>
      <c r="T29" s="10" t="str">
        <f>"407,7375"</f>
        <v>407,7375</v>
      </c>
      <c r="U29" s="11"/>
    </row>
    <row r="31" ht="15">
      <c r="E31" s="26" t="s">
        <v>113</v>
      </c>
    </row>
    <row r="32" ht="15">
      <c r="E32" s="26" t="s">
        <v>114</v>
      </c>
    </row>
    <row r="33" ht="15">
      <c r="E33" s="26" t="s">
        <v>115</v>
      </c>
    </row>
    <row r="34" ht="12.75">
      <c r="E34" s="8" t="s">
        <v>116</v>
      </c>
    </row>
    <row r="35" ht="12.75">
      <c r="E35" s="8" t="s">
        <v>117</v>
      </c>
    </row>
    <row r="36" ht="12.75">
      <c r="E36" s="8" t="s">
        <v>118</v>
      </c>
    </row>
    <row r="39" spans="1:2" ht="17.25">
      <c r="A39" s="27" t="s">
        <v>119</v>
      </c>
      <c r="B39" s="28"/>
    </row>
    <row r="40" spans="1:2" ht="15">
      <c r="A40" s="29" t="s">
        <v>120</v>
      </c>
      <c r="B40" s="13"/>
    </row>
    <row r="41" spans="1:2" ht="14.25">
      <c r="A41" s="31" t="s">
        <v>121</v>
      </c>
      <c r="B41" s="32"/>
    </row>
    <row r="42" spans="1:5" ht="13.5">
      <c r="A42" s="33" t="s">
        <v>0</v>
      </c>
      <c r="B42" s="33" t="s">
        <v>122</v>
      </c>
      <c r="C42" s="33" t="s">
        <v>123</v>
      </c>
      <c r="D42" s="33" t="s">
        <v>7</v>
      </c>
      <c r="E42" s="33" t="s">
        <v>124</v>
      </c>
    </row>
    <row r="43" spans="1:5" ht="12.75">
      <c r="A43" s="30" t="s">
        <v>53</v>
      </c>
      <c r="B43" s="5" t="s">
        <v>125</v>
      </c>
      <c r="C43" s="5" t="s">
        <v>126</v>
      </c>
      <c r="D43" s="5" t="s">
        <v>127</v>
      </c>
      <c r="E43" s="6" t="s">
        <v>128</v>
      </c>
    </row>
    <row r="44" spans="1:5" ht="12.75">
      <c r="A44" s="30" t="s">
        <v>14</v>
      </c>
      <c r="B44" s="5" t="s">
        <v>125</v>
      </c>
      <c r="C44" s="5" t="s">
        <v>129</v>
      </c>
      <c r="D44" s="5" t="s">
        <v>130</v>
      </c>
      <c r="E44" s="6" t="s">
        <v>131</v>
      </c>
    </row>
    <row r="46" spans="1:2" ht="14.25">
      <c r="A46" s="31" t="s">
        <v>132</v>
      </c>
      <c r="B46" s="32"/>
    </row>
    <row r="47" spans="1:5" ht="13.5">
      <c r="A47" s="33" t="s">
        <v>0</v>
      </c>
      <c r="B47" s="33" t="s">
        <v>122</v>
      </c>
      <c r="C47" s="33" t="s">
        <v>123</v>
      </c>
      <c r="D47" s="33" t="s">
        <v>7</v>
      </c>
      <c r="E47" s="33" t="s">
        <v>124</v>
      </c>
    </row>
    <row r="48" spans="1:5" ht="12.75">
      <c r="A48" s="30" t="s">
        <v>89</v>
      </c>
      <c r="B48" s="5" t="s">
        <v>132</v>
      </c>
      <c r="C48" s="5" t="s">
        <v>133</v>
      </c>
      <c r="D48" s="5" t="s">
        <v>134</v>
      </c>
      <c r="E48" s="6" t="s">
        <v>135</v>
      </c>
    </row>
    <row r="49" spans="1:5" ht="12.75">
      <c r="A49" s="30" t="s">
        <v>108</v>
      </c>
      <c r="B49" s="5" t="s">
        <v>132</v>
      </c>
      <c r="C49" s="5" t="s">
        <v>136</v>
      </c>
      <c r="D49" s="5" t="s">
        <v>137</v>
      </c>
      <c r="E49" s="6" t="s">
        <v>138</v>
      </c>
    </row>
    <row r="50" spans="1:5" ht="12.75">
      <c r="A50" s="30" t="s">
        <v>29</v>
      </c>
      <c r="B50" s="5" t="s">
        <v>132</v>
      </c>
      <c r="C50" s="5" t="s">
        <v>139</v>
      </c>
      <c r="D50" s="5" t="s">
        <v>140</v>
      </c>
      <c r="E50" s="6" t="s">
        <v>141</v>
      </c>
    </row>
    <row r="51" spans="1:5" ht="12.75">
      <c r="A51" s="30" t="s">
        <v>98</v>
      </c>
      <c r="B51" s="5" t="s">
        <v>132</v>
      </c>
      <c r="C51" s="5" t="s">
        <v>142</v>
      </c>
      <c r="D51" s="5" t="s">
        <v>143</v>
      </c>
      <c r="E51" s="6" t="s">
        <v>144</v>
      </c>
    </row>
    <row r="52" spans="1:5" ht="12.75">
      <c r="A52" s="30" t="s">
        <v>41</v>
      </c>
      <c r="B52" s="5" t="s">
        <v>132</v>
      </c>
      <c r="C52" s="5" t="s">
        <v>139</v>
      </c>
      <c r="D52" s="5" t="s">
        <v>145</v>
      </c>
      <c r="E52" s="6" t="s">
        <v>146</v>
      </c>
    </row>
    <row r="53" spans="1:5" ht="12.75">
      <c r="A53" s="30" t="s">
        <v>62</v>
      </c>
      <c r="B53" s="5" t="s">
        <v>132</v>
      </c>
      <c r="C53" s="5" t="s">
        <v>126</v>
      </c>
      <c r="D53" s="5" t="s">
        <v>147</v>
      </c>
      <c r="E53" s="6" t="s">
        <v>148</v>
      </c>
    </row>
    <row r="54" spans="1:5" ht="12.75">
      <c r="A54" s="30" t="s">
        <v>77</v>
      </c>
      <c r="B54" s="5" t="s">
        <v>132</v>
      </c>
      <c r="C54" s="5" t="s">
        <v>149</v>
      </c>
      <c r="D54" s="5" t="s">
        <v>150</v>
      </c>
      <c r="E54" s="6" t="s">
        <v>151</v>
      </c>
    </row>
    <row r="56" spans="1:2" ht="14.25">
      <c r="A56" s="31" t="s">
        <v>152</v>
      </c>
      <c r="B56" s="32"/>
    </row>
    <row r="57" spans="1:5" ht="13.5">
      <c r="A57" s="33" t="s">
        <v>0</v>
      </c>
      <c r="B57" s="33" t="s">
        <v>122</v>
      </c>
      <c r="C57" s="33" t="s">
        <v>123</v>
      </c>
      <c r="D57" s="33" t="s">
        <v>7</v>
      </c>
      <c r="E57" s="33" t="s">
        <v>124</v>
      </c>
    </row>
    <row r="58" spans="1:5" ht="12.75">
      <c r="A58" s="30" t="s">
        <v>77</v>
      </c>
      <c r="B58" s="5" t="s">
        <v>153</v>
      </c>
      <c r="C58" s="5" t="s">
        <v>149</v>
      </c>
      <c r="D58" s="5" t="s">
        <v>150</v>
      </c>
      <c r="E58" s="6" t="s">
        <v>154</v>
      </c>
    </row>
    <row r="59" spans="1:5" ht="12.75">
      <c r="A59" s="30" t="s">
        <v>82</v>
      </c>
      <c r="B59" s="5" t="s">
        <v>155</v>
      </c>
      <c r="C59" s="5" t="s">
        <v>149</v>
      </c>
      <c r="D59" s="5" t="s">
        <v>156</v>
      </c>
      <c r="E59" s="6" t="s">
        <v>157</v>
      </c>
    </row>
  </sheetData>
  <sheetProtection/>
  <mergeCells count="20">
    <mergeCell ref="A17:T17"/>
    <mergeCell ref="A22:T22"/>
    <mergeCell ref="A25:T25"/>
    <mergeCell ref="A28:T28"/>
    <mergeCell ref="D3:D4"/>
    <mergeCell ref="S3:S4"/>
    <mergeCell ref="T3:T4"/>
    <mergeCell ref="A5:T5"/>
    <mergeCell ref="A8:T8"/>
    <mergeCell ref="A12:T12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" right="0.47" top="0.45" bottom="0.49" header="0.5" footer="0.5"/>
  <pageSetup fitToHeight="100" fitToWidth="1" horizontalDpi="300" verticalDpi="300" orientation="landscape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N13" sqref="N13"/>
    </sheetView>
  </sheetViews>
  <sheetFormatPr defaultColWidth="9.125" defaultRowHeight="12.75"/>
  <cols>
    <col min="1" max="1" width="30.375" style="6" bestFit="1" customWidth="1"/>
    <col min="2" max="2" width="24.00390625" style="5" bestFit="1" customWidth="1"/>
    <col min="3" max="3" width="7.00390625" style="5" bestFit="1" customWidth="1"/>
    <col min="4" max="4" width="6.875" style="5" bestFit="1" customWidth="1"/>
    <col min="5" max="5" width="17.375" style="8" bestFit="1" customWidth="1"/>
    <col min="6" max="6" width="31.00390625" style="8" bestFit="1" customWidth="1"/>
    <col min="7" max="7" width="4.625" style="5" bestFit="1" customWidth="1"/>
    <col min="8" max="8" width="7.50390625" style="5" bestFit="1" customWidth="1"/>
    <col min="9" max="9" width="2.125" style="5" bestFit="1" customWidth="1"/>
    <col min="10" max="10" width="4.875" style="5" bestFit="1" customWidth="1"/>
    <col min="11" max="11" width="6.625" style="6" bestFit="1" customWidth="1"/>
    <col min="12" max="12" width="9.50390625" style="5" bestFit="1" customWidth="1"/>
    <col min="13" max="13" width="7.50390625" style="8" bestFit="1" customWidth="1"/>
    <col min="14" max="16384" width="9.125" style="1" customWidth="1"/>
  </cols>
  <sheetData>
    <row r="1" spans="1:13" ht="15" customHeight="1">
      <c r="A1" s="55" t="s">
        <v>1454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77.2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12.75" customHeight="1">
      <c r="A3" s="61" t="s">
        <v>0</v>
      </c>
      <c r="B3" s="63" t="s">
        <v>1398</v>
      </c>
      <c r="C3" s="63" t="s">
        <v>11</v>
      </c>
      <c r="D3" s="65" t="s">
        <v>1</v>
      </c>
      <c r="E3" s="65" t="s">
        <v>2</v>
      </c>
      <c r="F3" s="68" t="s">
        <v>3</v>
      </c>
      <c r="G3" s="65" t="s">
        <v>5</v>
      </c>
      <c r="H3" s="65"/>
      <c r="I3" s="65"/>
      <c r="J3" s="65"/>
      <c r="K3" s="65" t="s">
        <v>7</v>
      </c>
      <c r="L3" s="65" t="s">
        <v>9</v>
      </c>
      <c r="M3" s="51" t="s">
        <v>8</v>
      </c>
    </row>
    <row r="4" spans="1:13" s="7" customFormat="1" ht="23.25" customHeight="1" thickBot="1">
      <c r="A4" s="62"/>
      <c r="B4" s="64"/>
      <c r="C4" s="64"/>
      <c r="D4" s="64"/>
      <c r="E4" s="64"/>
      <c r="F4" s="69"/>
      <c r="G4" s="2" t="s">
        <v>1397</v>
      </c>
      <c r="H4" s="2" t="s">
        <v>1396</v>
      </c>
      <c r="I4" s="2">
        <v>3</v>
      </c>
      <c r="J4" s="4" t="s">
        <v>10</v>
      </c>
      <c r="K4" s="64"/>
      <c r="L4" s="64"/>
      <c r="M4" s="52"/>
    </row>
    <row r="5" spans="1:13" s="5" customFormat="1" ht="15">
      <c r="A5" s="72" t="s">
        <v>285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8"/>
    </row>
    <row r="6" spans="1:13" s="5" customFormat="1" ht="12.75">
      <c r="A6" s="9" t="s">
        <v>657</v>
      </c>
      <c r="B6" s="10" t="s">
        <v>658</v>
      </c>
      <c r="C6" s="10" t="s">
        <v>659</v>
      </c>
      <c r="D6" s="10" t="str">
        <f>"1,3243"</f>
        <v>1,3243</v>
      </c>
      <c r="E6" s="11" t="s">
        <v>17</v>
      </c>
      <c r="F6" s="11" t="s">
        <v>490</v>
      </c>
      <c r="G6" s="10" t="s">
        <v>1361</v>
      </c>
      <c r="H6" s="10" t="s">
        <v>1404</v>
      </c>
      <c r="I6" s="12"/>
      <c r="J6" s="12"/>
      <c r="K6" s="9">
        <v>1240</v>
      </c>
      <c r="L6" s="10" t="str">
        <f>"1642,1940"</f>
        <v>1642,1940</v>
      </c>
      <c r="M6" s="11"/>
    </row>
    <row r="7" spans="1:13" s="5" customFormat="1" ht="12.75">
      <c r="A7" s="6"/>
      <c r="E7" s="8"/>
      <c r="F7" s="8"/>
      <c r="K7" s="6"/>
      <c r="M7" s="8"/>
    </row>
    <row r="8" spans="1:12" ht="15">
      <c r="A8" s="70" t="s">
        <v>176</v>
      </c>
      <c r="B8" s="71"/>
      <c r="C8" s="71"/>
      <c r="D8" s="71"/>
      <c r="E8" s="71"/>
      <c r="F8" s="71"/>
      <c r="G8" s="71"/>
      <c r="H8" s="71"/>
      <c r="I8" s="71"/>
      <c r="J8" s="71"/>
      <c r="K8" s="70"/>
      <c r="L8" s="71"/>
    </row>
    <row r="9" spans="1:13" ht="12.75">
      <c r="A9" s="9" t="s">
        <v>669</v>
      </c>
      <c r="B9" s="10" t="s">
        <v>670</v>
      </c>
      <c r="C9" s="10" t="s">
        <v>671</v>
      </c>
      <c r="D9" s="10" t="str">
        <f>"0,8073"</f>
        <v>0,8073</v>
      </c>
      <c r="E9" s="11" t="s">
        <v>17</v>
      </c>
      <c r="F9" s="11" t="s">
        <v>483</v>
      </c>
      <c r="G9" s="10" t="s">
        <v>282</v>
      </c>
      <c r="H9" s="10" t="s">
        <v>1403</v>
      </c>
      <c r="I9" s="12"/>
      <c r="J9" s="12"/>
      <c r="K9" s="9">
        <v>1657.5</v>
      </c>
      <c r="L9" s="10" t="str">
        <f>"1338,0169"</f>
        <v>1338,0169</v>
      </c>
      <c r="M9" s="11"/>
    </row>
    <row r="11" ht="15">
      <c r="E11" s="26" t="s">
        <v>113</v>
      </c>
    </row>
    <row r="12" ht="15">
      <c r="E12" s="26" t="s">
        <v>114</v>
      </c>
    </row>
    <row r="13" ht="15">
      <c r="E13" s="26" t="s">
        <v>115</v>
      </c>
    </row>
    <row r="14" ht="12.75">
      <c r="E14" s="8" t="s">
        <v>116</v>
      </c>
    </row>
    <row r="15" ht="12.75">
      <c r="E15" s="8" t="s">
        <v>117</v>
      </c>
    </row>
    <row r="16" ht="12.75">
      <c r="E16" s="8" t="s">
        <v>118</v>
      </c>
    </row>
    <row r="19" spans="1:5" s="1" customFormat="1" ht="17.25">
      <c r="A19" s="27" t="s">
        <v>119</v>
      </c>
      <c r="B19" s="28"/>
      <c r="C19" s="5"/>
      <c r="D19" s="5"/>
      <c r="E19" s="8"/>
    </row>
    <row r="20" spans="1:5" s="1" customFormat="1" ht="15">
      <c r="A20" s="29" t="s">
        <v>120</v>
      </c>
      <c r="B20" s="13"/>
      <c r="C20" s="5"/>
      <c r="D20" s="5"/>
      <c r="E20" s="8"/>
    </row>
    <row r="21" spans="1:5" s="1" customFormat="1" ht="14.25">
      <c r="A21" s="31" t="s">
        <v>427</v>
      </c>
      <c r="B21" s="32"/>
      <c r="C21" s="5"/>
      <c r="D21" s="5"/>
      <c r="E21" s="8"/>
    </row>
    <row r="22" spans="1:5" s="1" customFormat="1" ht="13.5">
      <c r="A22" s="33" t="s">
        <v>0</v>
      </c>
      <c r="B22" s="33" t="s">
        <v>122</v>
      </c>
      <c r="C22" s="33" t="s">
        <v>123</v>
      </c>
      <c r="D22" s="33" t="s">
        <v>7</v>
      </c>
      <c r="E22" s="33" t="s">
        <v>124</v>
      </c>
    </row>
    <row r="23" spans="1:5" s="1" customFormat="1" ht="12.75">
      <c r="A23" s="30" t="s">
        <v>657</v>
      </c>
      <c r="B23" s="5" t="s">
        <v>428</v>
      </c>
      <c r="C23" s="5" t="s">
        <v>422</v>
      </c>
      <c r="D23" s="5" t="s">
        <v>1402</v>
      </c>
      <c r="E23" s="6" t="s">
        <v>1401</v>
      </c>
    </row>
    <row r="24" spans="1:5" s="1" customFormat="1" ht="12.75">
      <c r="A24" s="30" t="s">
        <v>669</v>
      </c>
      <c r="B24" s="5" t="s">
        <v>428</v>
      </c>
      <c r="C24" s="5" t="s">
        <v>232</v>
      </c>
      <c r="D24" s="5" t="s">
        <v>1400</v>
      </c>
      <c r="E24" s="6" t="s">
        <v>1399</v>
      </c>
    </row>
  </sheetData>
  <sheetProtection/>
  <mergeCells count="13">
    <mergeCell ref="A5:L5"/>
    <mergeCell ref="A8:L8"/>
    <mergeCell ref="A1:M2"/>
    <mergeCell ref="G3:J3"/>
    <mergeCell ref="A3:A4"/>
    <mergeCell ref="B3:B4"/>
    <mergeCell ref="C3:C4"/>
    <mergeCell ref="M3:M4"/>
    <mergeCell ref="F3:F4"/>
    <mergeCell ref="E3:E4"/>
    <mergeCell ref="D3:D4"/>
    <mergeCell ref="K3:K4"/>
    <mergeCell ref="L3:L4"/>
  </mergeCells>
  <printOptions/>
  <pageMargins left="0.19" right="0.47" top="0.45" bottom="0.49" header="0.5" footer="0.5"/>
  <pageSetup fitToHeight="100" fitToWidth="1" horizontalDpi="300" verticalDpi="300" orientation="landscape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2"/>
  <sheetViews>
    <sheetView zoomScalePageLayoutView="0" workbookViewId="0" topLeftCell="A1">
      <selection activeCell="A9" sqref="A9:L9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20.625" style="34" bestFit="1" customWidth="1"/>
    <col min="6" max="6" width="35.375" style="34" bestFit="1" customWidth="1"/>
    <col min="7" max="9" width="5.50390625" style="34" bestFit="1" customWidth="1"/>
    <col min="10" max="10" width="4.875" style="34" bestFit="1" customWidth="1"/>
    <col min="11" max="11" width="6.625" style="34" bestFit="1" customWidth="1"/>
    <col min="12" max="12" width="8.50390625" style="34" bestFit="1" customWidth="1"/>
    <col min="13" max="13" width="12.625" style="34" bestFit="1" customWidth="1"/>
  </cols>
  <sheetData>
    <row r="1" spans="1:13" s="1" customFormat="1" ht="34.5" customHeight="1">
      <c r="A1" s="55" t="s">
        <v>1302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56.2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48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6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48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53" t="s">
        <v>272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9" t="s">
        <v>982</v>
      </c>
      <c r="B6" s="39" t="s">
        <v>983</v>
      </c>
      <c r="C6" s="39" t="s">
        <v>984</v>
      </c>
      <c r="D6" s="39" t="str">
        <f>"1,2642"</f>
        <v>1,2642</v>
      </c>
      <c r="E6" s="39" t="s">
        <v>17</v>
      </c>
      <c r="F6" s="39" t="s">
        <v>263</v>
      </c>
      <c r="G6" s="39" t="s">
        <v>168</v>
      </c>
      <c r="H6" s="39" t="s">
        <v>294</v>
      </c>
      <c r="I6" s="39" t="s">
        <v>47</v>
      </c>
      <c r="J6" s="40"/>
      <c r="K6" s="39">
        <v>130</v>
      </c>
      <c r="L6" s="39" t="str">
        <f>"164,3460"</f>
        <v>164,3460</v>
      </c>
      <c r="M6" s="39" t="s">
        <v>985</v>
      </c>
    </row>
    <row r="7" spans="1:13" ht="12.75">
      <c r="A7" s="41" t="s">
        <v>986</v>
      </c>
      <c r="B7" s="41" t="s">
        <v>987</v>
      </c>
      <c r="C7" s="41" t="s">
        <v>988</v>
      </c>
      <c r="D7" s="41" t="str">
        <f>"1,2704"</f>
        <v>1,2704</v>
      </c>
      <c r="E7" s="41" t="s">
        <v>17</v>
      </c>
      <c r="F7" s="41" t="s">
        <v>101</v>
      </c>
      <c r="G7" s="41" t="s">
        <v>163</v>
      </c>
      <c r="H7" s="41" t="s">
        <v>23</v>
      </c>
      <c r="I7" s="41" t="s">
        <v>164</v>
      </c>
      <c r="J7" s="42"/>
      <c r="K7" s="41">
        <v>95</v>
      </c>
      <c r="L7" s="41" t="str">
        <f>"120,6880"</f>
        <v>120,6880</v>
      </c>
      <c r="M7" s="41"/>
    </row>
    <row r="9" spans="1:12" ht="15">
      <c r="A9" s="54" t="s">
        <v>285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ht="12.75">
      <c r="A10" s="37" t="s">
        <v>989</v>
      </c>
      <c r="B10" s="37" t="s">
        <v>990</v>
      </c>
      <c r="C10" s="37" t="s">
        <v>991</v>
      </c>
      <c r="D10" s="37" t="str">
        <f>"1,1076"</f>
        <v>1,1076</v>
      </c>
      <c r="E10" s="37" t="s">
        <v>17</v>
      </c>
      <c r="F10" s="37" t="s">
        <v>638</v>
      </c>
      <c r="G10" s="37" t="s">
        <v>163</v>
      </c>
      <c r="H10" s="37" t="s">
        <v>173</v>
      </c>
      <c r="I10" s="37" t="s">
        <v>24</v>
      </c>
      <c r="J10" s="38"/>
      <c r="K10" s="37">
        <v>100</v>
      </c>
      <c r="L10" s="37" t="str">
        <f>"110,7600"</f>
        <v>110,7600</v>
      </c>
      <c r="M10" s="37"/>
    </row>
    <row r="12" spans="1:12" ht="15">
      <c r="A12" s="54" t="s">
        <v>158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39" t="s">
        <v>620</v>
      </c>
      <c r="B13" s="39" t="s">
        <v>621</v>
      </c>
      <c r="C13" s="39" t="s">
        <v>618</v>
      </c>
      <c r="D13" s="39" t="str">
        <f>"1,0500"</f>
        <v>1,0500</v>
      </c>
      <c r="E13" s="39" t="s">
        <v>17</v>
      </c>
      <c r="F13" s="39" t="s">
        <v>101</v>
      </c>
      <c r="G13" s="40" t="s">
        <v>67</v>
      </c>
      <c r="H13" s="39" t="s">
        <v>190</v>
      </c>
      <c r="I13" s="39" t="s">
        <v>47</v>
      </c>
      <c r="J13" s="40"/>
      <c r="K13" s="39">
        <v>130</v>
      </c>
      <c r="L13" s="39" t="str">
        <f>"136,5000"</f>
        <v>136,5000</v>
      </c>
      <c r="M13" s="39"/>
    </row>
    <row r="14" spans="1:13" ht="12.75">
      <c r="A14" s="41" t="s">
        <v>992</v>
      </c>
      <c r="B14" s="41" t="s">
        <v>993</v>
      </c>
      <c r="C14" s="41" t="s">
        <v>994</v>
      </c>
      <c r="D14" s="41" t="str">
        <f>"1,1601"</f>
        <v>1,1601</v>
      </c>
      <c r="E14" s="41" t="s">
        <v>17</v>
      </c>
      <c r="F14" s="41" t="s">
        <v>995</v>
      </c>
      <c r="G14" s="41" t="s">
        <v>26</v>
      </c>
      <c r="H14" s="41" t="s">
        <v>67</v>
      </c>
      <c r="I14" s="41" t="s">
        <v>168</v>
      </c>
      <c r="J14" s="42"/>
      <c r="K14" s="41">
        <v>112.5</v>
      </c>
      <c r="L14" s="41" t="str">
        <f>"130,5087"</f>
        <v>130,5087</v>
      </c>
      <c r="M14" s="41"/>
    </row>
    <row r="16" spans="1:12" ht="15">
      <c r="A16" s="54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3" ht="12.75">
      <c r="A17" s="39" t="s">
        <v>996</v>
      </c>
      <c r="B17" s="39" t="s">
        <v>997</v>
      </c>
      <c r="C17" s="39" t="s">
        <v>998</v>
      </c>
      <c r="D17" s="39" t="str">
        <f>"1,0163"</f>
        <v>1,0163</v>
      </c>
      <c r="E17" s="39" t="s">
        <v>17</v>
      </c>
      <c r="F17" s="39" t="s">
        <v>101</v>
      </c>
      <c r="G17" s="39" t="s">
        <v>67</v>
      </c>
      <c r="H17" s="39" t="s">
        <v>87</v>
      </c>
      <c r="I17" s="39" t="s">
        <v>174</v>
      </c>
      <c r="J17" s="40"/>
      <c r="K17" s="39">
        <v>120</v>
      </c>
      <c r="L17" s="39" t="str">
        <f>"121,9560"</f>
        <v>121,9560</v>
      </c>
      <c r="M17" s="39" t="s">
        <v>999</v>
      </c>
    </row>
    <row r="18" spans="1:13" ht="12.75">
      <c r="A18" s="43" t="s">
        <v>1000</v>
      </c>
      <c r="B18" s="43" t="s">
        <v>1001</v>
      </c>
      <c r="C18" s="43" t="s">
        <v>1002</v>
      </c>
      <c r="D18" s="43" t="str">
        <f>"1,0306"</f>
        <v>1,0306</v>
      </c>
      <c r="E18" s="43" t="s">
        <v>17</v>
      </c>
      <c r="F18" s="43" t="s">
        <v>101</v>
      </c>
      <c r="G18" s="43" t="s">
        <v>24</v>
      </c>
      <c r="H18" s="43" t="s">
        <v>67</v>
      </c>
      <c r="I18" s="43" t="s">
        <v>87</v>
      </c>
      <c r="J18" s="44"/>
      <c r="K18" s="43">
        <v>115</v>
      </c>
      <c r="L18" s="43" t="str">
        <f>"118,5190"</f>
        <v>118,5190</v>
      </c>
      <c r="M18" s="43"/>
    </row>
    <row r="19" spans="1:13" ht="12.75">
      <c r="A19" s="43" t="s">
        <v>1003</v>
      </c>
      <c r="B19" s="43" t="s">
        <v>1004</v>
      </c>
      <c r="C19" s="43" t="s">
        <v>1005</v>
      </c>
      <c r="D19" s="43" t="str">
        <f>"1,0037"</f>
        <v>1,0037</v>
      </c>
      <c r="E19" s="43" t="s">
        <v>17</v>
      </c>
      <c r="F19" s="43" t="s">
        <v>101</v>
      </c>
      <c r="G19" s="44" t="s">
        <v>24</v>
      </c>
      <c r="H19" s="43" t="s">
        <v>24</v>
      </c>
      <c r="I19" s="44" t="s">
        <v>26</v>
      </c>
      <c r="J19" s="44"/>
      <c r="K19" s="43">
        <v>100</v>
      </c>
      <c r="L19" s="43" t="str">
        <f>"100,3700"</f>
        <v>100,3700</v>
      </c>
      <c r="M19" s="43"/>
    </row>
    <row r="20" spans="1:13" ht="12.75">
      <c r="A20" s="43" t="s">
        <v>1006</v>
      </c>
      <c r="B20" s="43" t="s">
        <v>292</v>
      </c>
      <c r="C20" s="43" t="s">
        <v>1007</v>
      </c>
      <c r="D20" s="43" t="str">
        <f>"0,9969"</f>
        <v>0,9969</v>
      </c>
      <c r="E20" s="43" t="s">
        <v>17</v>
      </c>
      <c r="F20" s="43" t="s">
        <v>101</v>
      </c>
      <c r="G20" s="43" t="s">
        <v>23</v>
      </c>
      <c r="H20" s="43" t="s">
        <v>164</v>
      </c>
      <c r="I20" s="43" t="s">
        <v>646</v>
      </c>
      <c r="J20" s="44"/>
      <c r="K20" s="43">
        <v>97.5</v>
      </c>
      <c r="L20" s="43" t="str">
        <f>"97,2026"</f>
        <v>97,2026</v>
      </c>
      <c r="M20" s="43"/>
    </row>
    <row r="21" spans="1:13" ht="12.75">
      <c r="A21" s="41" t="s">
        <v>1008</v>
      </c>
      <c r="B21" s="41" t="s">
        <v>1009</v>
      </c>
      <c r="C21" s="41" t="s">
        <v>665</v>
      </c>
      <c r="D21" s="41" t="str">
        <f>"0,9876"</f>
        <v>0,9876</v>
      </c>
      <c r="E21" s="41" t="s">
        <v>681</v>
      </c>
      <c r="F21" s="41" t="s">
        <v>101</v>
      </c>
      <c r="G21" s="41" t="s">
        <v>23</v>
      </c>
      <c r="H21" s="41" t="s">
        <v>646</v>
      </c>
      <c r="I21" s="41" t="s">
        <v>67</v>
      </c>
      <c r="J21" s="42"/>
      <c r="K21" s="41">
        <v>110</v>
      </c>
      <c r="L21" s="41" t="str">
        <f>"108,6360"</f>
        <v>108,6360</v>
      </c>
      <c r="M21" s="41"/>
    </row>
    <row r="23" spans="1:12" ht="15">
      <c r="A23" s="54" t="s">
        <v>176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3" ht="12.75">
      <c r="A24" s="39" t="s">
        <v>1010</v>
      </c>
      <c r="B24" s="39" t="s">
        <v>1011</v>
      </c>
      <c r="C24" s="39" t="s">
        <v>1012</v>
      </c>
      <c r="D24" s="39" t="str">
        <f>"0,9145"</f>
        <v>0,9145</v>
      </c>
      <c r="E24" s="39" t="s">
        <v>795</v>
      </c>
      <c r="F24" s="39" t="s">
        <v>101</v>
      </c>
      <c r="G24" s="39" t="s">
        <v>183</v>
      </c>
      <c r="H24" s="40" t="s">
        <v>163</v>
      </c>
      <c r="I24" s="40" t="s">
        <v>163</v>
      </c>
      <c r="J24" s="40"/>
      <c r="K24" s="39">
        <v>80</v>
      </c>
      <c r="L24" s="39" t="str">
        <f>"73,1600"</f>
        <v>73,1600</v>
      </c>
      <c r="M24" s="39"/>
    </row>
    <row r="25" spans="1:13" ht="12.75">
      <c r="A25" s="43" t="s">
        <v>647</v>
      </c>
      <c r="B25" s="43" t="s">
        <v>1013</v>
      </c>
      <c r="C25" s="43" t="s">
        <v>649</v>
      </c>
      <c r="D25" s="43" t="str">
        <f>"0,9255"</f>
        <v>0,9255</v>
      </c>
      <c r="E25" s="43" t="s">
        <v>85</v>
      </c>
      <c r="F25" s="43" t="s">
        <v>629</v>
      </c>
      <c r="G25" s="43" t="s">
        <v>36</v>
      </c>
      <c r="H25" s="44" t="s">
        <v>49</v>
      </c>
      <c r="I25" s="44" t="s">
        <v>184</v>
      </c>
      <c r="J25" s="44"/>
      <c r="K25" s="43">
        <v>140</v>
      </c>
      <c r="L25" s="43" t="str">
        <f>"129,5700"</f>
        <v>129,5700</v>
      </c>
      <c r="M25" s="43"/>
    </row>
    <row r="26" spans="1:13" ht="12.75">
      <c r="A26" s="41" t="s">
        <v>1014</v>
      </c>
      <c r="B26" s="41" t="s">
        <v>1015</v>
      </c>
      <c r="C26" s="41" t="s">
        <v>1016</v>
      </c>
      <c r="D26" s="41" t="str">
        <f>"0,9463"</f>
        <v>0,9463</v>
      </c>
      <c r="E26" s="41" t="s">
        <v>681</v>
      </c>
      <c r="F26" s="41" t="s">
        <v>653</v>
      </c>
      <c r="G26" s="41" t="s">
        <v>163</v>
      </c>
      <c r="H26" s="41" t="s">
        <v>164</v>
      </c>
      <c r="I26" s="42" t="s">
        <v>25</v>
      </c>
      <c r="J26" s="42"/>
      <c r="K26" s="41">
        <v>95</v>
      </c>
      <c r="L26" s="41" t="str">
        <f>"89,8938"</f>
        <v>89,8938</v>
      </c>
      <c r="M26" s="41"/>
    </row>
    <row r="28" spans="1:12" ht="15">
      <c r="A28" s="54" t="s">
        <v>191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3" ht="12.75">
      <c r="A29" s="39" t="s">
        <v>1017</v>
      </c>
      <c r="B29" s="39" t="s">
        <v>1018</v>
      </c>
      <c r="C29" s="39" t="s">
        <v>1019</v>
      </c>
      <c r="D29" s="39" t="str">
        <f>"0,8773"</f>
        <v>0,8773</v>
      </c>
      <c r="E29" s="39" t="s">
        <v>681</v>
      </c>
      <c r="F29" s="39" t="s">
        <v>653</v>
      </c>
      <c r="G29" s="39" t="s">
        <v>23</v>
      </c>
      <c r="H29" s="40" t="s">
        <v>24</v>
      </c>
      <c r="I29" s="40" t="s">
        <v>24</v>
      </c>
      <c r="J29" s="40"/>
      <c r="K29" s="39">
        <v>90</v>
      </c>
      <c r="L29" s="39" t="str">
        <f>"78,9570"</f>
        <v>78,9570</v>
      </c>
      <c r="M29" s="39"/>
    </row>
    <row r="30" spans="1:13" ht="12.75">
      <c r="A30" s="43" t="s">
        <v>1020</v>
      </c>
      <c r="B30" s="43" t="s">
        <v>1021</v>
      </c>
      <c r="C30" s="43" t="s">
        <v>1022</v>
      </c>
      <c r="D30" s="43" t="str">
        <f>"0,8765"</f>
        <v>0,8765</v>
      </c>
      <c r="E30" s="43" t="s">
        <v>795</v>
      </c>
      <c r="F30" s="43" t="s">
        <v>101</v>
      </c>
      <c r="G30" s="43" t="s">
        <v>183</v>
      </c>
      <c r="H30" s="43" t="s">
        <v>163</v>
      </c>
      <c r="I30" s="43" t="s">
        <v>23</v>
      </c>
      <c r="J30" s="44"/>
      <c r="K30" s="43">
        <v>90</v>
      </c>
      <c r="L30" s="43" t="str">
        <f>"78,8805"</f>
        <v>78,8805</v>
      </c>
      <c r="M30" s="43"/>
    </row>
    <row r="31" spans="1:13" ht="12.75">
      <c r="A31" s="43" t="s">
        <v>1023</v>
      </c>
      <c r="B31" s="43" t="s">
        <v>1024</v>
      </c>
      <c r="C31" s="43" t="s">
        <v>1025</v>
      </c>
      <c r="D31" s="43" t="str">
        <f>"0,9576"</f>
        <v>0,9576</v>
      </c>
      <c r="E31" s="43" t="s">
        <v>17</v>
      </c>
      <c r="F31" s="43" t="s">
        <v>101</v>
      </c>
      <c r="G31" s="43" t="s">
        <v>190</v>
      </c>
      <c r="H31" s="43" t="s">
        <v>294</v>
      </c>
      <c r="I31" s="43" t="s">
        <v>47</v>
      </c>
      <c r="J31" s="44"/>
      <c r="K31" s="43">
        <v>130</v>
      </c>
      <c r="L31" s="43" t="str">
        <f>"124,4840"</f>
        <v>124,4840</v>
      </c>
      <c r="M31" s="43"/>
    </row>
    <row r="32" spans="1:13" ht="12.75">
      <c r="A32" s="43" t="s">
        <v>1026</v>
      </c>
      <c r="B32" s="43" t="s">
        <v>1027</v>
      </c>
      <c r="C32" s="43" t="s">
        <v>1028</v>
      </c>
      <c r="D32" s="43" t="str">
        <f>"0,9052"</f>
        <v>0,9052</v>
      </c>
      <c r="E32" s="43" t="s">
        <v>681</v>
      </c>
      <c r="F32" s="43" t="s">
        <v>653</v>
      </c>
      <c r="G32" s="43" t="s">
        <v>164</v>
      </c>
      <c r="H32" s="43" t="s">
        <v>26</v>
      </c>
      <c r="I32" s="43" t="s">
        <v>67</v>
      </c>
      <c r="J32" s="44"/>
      <c r="K32" s="43">
        <v>110</v>
      </c>
      <c r="L32" s="43" t="str">
        <f>"99,5702"</f>
        <v>99,5702</v>
      </c>
      <c r="M32" s="43"/>
    </row>
    <row r="33" spans="1:13" ht="12.75">
      <c r="A33" s="41" t="s">
        <v>1029</v>
      </c>
      <c r="B33" s="41" t="s">
        <v>1030</v>
      </c>
      <c r="C33" s="41" t="s">
        <v>1031</v>
      </c>
      <c r="D33" s="41" t="str">
        <f>"0,9486"</f>
        <v>0,9486</v>
      </c>
      <c r="E33" s="41" t="s">
        <v>17</v>
      </c>
      <c r="F33" s="41" t="s">
        <v>101</v>
      </c>
      <c r="G33" s="41" t="s">
        <v>183</v>
      </c>
      <c r="H33" s="41" t="s">
        <v>23</v>
      </c>
      <c r="I33" s="42" t="s">
        <v>24</v>
      </c>
      <c r="J33" s="42"/>
      <c r="K33" s="41">
        <v>90</v>
      </c>
      <c r="L33" s="41" t="str">
        <f>"85,3752"</f>
        <v>85,3752</v>
      </c>
      <c r="M33" s="41"/>
    </row>
    <row r="35" spans="1:12" ht="15">
      <c r="A35" s="54" t="s">
        <v>28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3" ht="12.75">
      <c r="A36" s="39" t="s">
        <v>1032</v>
      </c>
      <c r="B36" s="39" t="s">
        <v>1033</v>
      </c>
      <c r="C36" s="39" t="s">
        <v>607</v>
      </c>
      <c r="D36" s="39" t="str">
        <f>"0,7889"</f>
        <v>0,7889</v>
      </c>
      <c r="E36" s="39" t="s">
        <v>17</v>
      </c>
      <c r="F36" s="39" t="s">
        <v>101</v>
      </c>
      <c r="G36" s="39" t="s">
        <v>24</v>
      </c>
      <c r="H36" s="39" t="s">
        <v>67</v>
      </c>
      <c r="I36" s="40" t="s">
        <v>87</v>
      </c>
      <c r="J36" s="40"/>
      <c r="K36" s="39">
        <v>110</v>
      </c>
      <c r="L36" s="39" t="str">
        <f>"86,7790"</f>
        <v>86,7790</v>
      </c>
      <c r="M36" s="39" t="s">
        <v>1034</v>
      </c>
    </row>
    <row r="37" spans="1:13" ht="12.75">
      <c r="A37" s="41" t="s">
        <v>1035</v>
      </c>
      <c r="B37" s="41" t="s">
        <v>1036</v>
      </c>
      <c r="C37" s="41" t="s">
        <v>1037</v>
      </c>
      <c r="D37" s="41" t="str">
        <f>"0,8044"</f>
        <v>0,8044</v>
      </c>
      <c r="E37" s="41" t="s">
        <v>681</v>
      </c>
      <c r="F37" s="41" t="s">
        <v>653</v>
      </c>
      <c r="G37" s="42" t="s">
        <v>163</v>
      </c>
      <c r="H37" s="41" t="s">
        <v>23</v>
      </c>
      <c r="I37" s="41" t="s">
        <v>26</v>
      </c>
      <c r="J37" s="42"/>
      <c r="K37" s="41">
        <v>105</v>
      </c>
      <c r="L37" s="41" t="str">
        <f>"84,4568"</f>
        <v>84,4568</v>
      </c>
      <c r="M37" s="41"/>
    </row>
    <row r="39" spans="1:12" ht="15">
      <c r="A39" s="54" t="s">
        <v>13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3" ht="12.75">
      <c r="A40" s="39" t="s">
        <v>1038</v>
      </c>
      <c r="B40" s="39" t="s">
        <v>1039</v>
      </c>
      <c r="C40" s="39" t="s">
        <v>1040</v>
      </c>
      <c r="D40" s="39" t="str">
        <f>"0,8383"</f>
        <v>0,8383</v>
      </c>
      <c r="E40" s="39" t="s">
        <v>17</v>
      </c>
      <c r="F40" s="39" t="s">
        <v>932</v>
      </c>
      <c r="G40" s="39" t="s">
        <v>49</v>
      </c>
      <c r="H40" s="39" t="s">
        <v>104</v>
      </c>
      <c r="I40" s="39" t="s">
        <v>21</v>
      </c>
      <c r="J40" s="40"/>
      <c r="K40" s="39">
        <v>185</v>
      </c>
      <c r="L40" s="39" t="str">
        <f>"155,0855"</f>
        <v>155,0855</v>
      </c>
      <c r="M40" s="39"/>
    </row>
    <row r="41" spans="1:13" ht="12.75">
      <c r="A41" s="43" t="s">
        <v>1041</v>
      </c>
      <c r="B41" s="43" t="s">
        <v>1042</v>
      </c>
      <c r="C41" s="43" t="s">
        <v>1043</v>
      </c>
      <c r="D41" s="43" t="str">
        <f>"0,8356"</f>
        <v>0,8356</v>
      </c>
      <c r="E41" s="43" t="s">
        <v>17</v>
      </c>
      <c r="F41" s="43" t="s">
        <v>932</v>
      </c>
      <c r="G41" s="43" t="s">
        <v>19</v>
      </c>
      <c r="H41" s="43" t="s">
        <v>104</v>
      </c>
      <c r="I41" s="44" t="s">
        <v>21</v>
      </c>
      <c r="J41" s="44"/>
      <c r="K41" s="43">
        <v>172.5</v>
      </c>
      <c r="L41" s="43" t="str">
        <f>"144,1324"</f>
        <v>144,1324</v>
      </c>
      <c r="M41" s="43"/>
    </row>
    <row r="42" spans="1:13" ht="12.75">
      <c r="A42" s="41" t="s">
        <v>493</v>
      </c>
      <c r="B42" s="41" t="s">
        <v>494</v>
      </c>
      <c r="C42" s="41" t="s">
        <v>171</v>
      </c>
      <c r="D42" s="41" t="str">
        <f>"0,8411"</f>
        <v>0,8411</v>
      </c>
      <c r="E42" s="41" t="s">
        <v>17</v>
      </c>
      <c r="F42" s="41" t="s">
        <v>495</v>
      </c>
      <c r="G42" s="41" t="s">
        <v>19</v>
      </c>
      <c r="H42" s="42" t="s">
        <v>222</v>
      </c>
      <c r="I42" s="42" t="s">
        <v>222</v>
      </c>
      <c r="J42" s="42"/>
      <c r="K42" s="41">
        <v>160</v>
      </c>
      <c r="L42" s="41" t="str">
        <f>"134,5680"</f>
        <v>134,5680</v>
      </c>
      <c r="M42" s="41"/>
    </row>
    <row r="44" spans="1:12" ht="15">
      <c r="A44" s="54" t="s">
        <v>176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3" ht="12.75">
      <c r="A45" s="37" t="s">
        <v>497</v>
      </c>
      <c r="B45" s="37" t="s">
        <v>498</v>
      </c>
      <c r="C45" s="37" t="s">
        <v>499</v>
      </c>
      <c r="D45" s="37" t="str">
        <f>"0,7570"</f>
        <v>0,7570</v>
      </c>
      <c r="E45" s="37" t="s">
        <v>17</v>
      </c>
      <c r="F45" s="37" t="s">
        <v>495</v>
      </c>
      <c r="G45" s="37" t="s">
        <v>33</v>
      </c>
      <c r="H45" s="37" t="s">
        <v>51</v>
      </c>
      <c r="I45" s="37" t="s">
        <v>500</v>
      </c>
      <c r="J45" s="37"/>
      <c r="K45" s="37">
        <v>232.5</v>
      </c>
      <c r="L45" s="37" t="str">
        <f>"176,0141"</f>
        <v>176,0141</v>
      </c>
      <c r="M45" s="37"/>
    </row>
    <row r="47" spans="1:12" ht="15">
      <c r="A47" s="54" t="s">
        <v>191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3" ht="12.75">
      <c r="A48" s="39" t="s">
        <v>1044</v>
      </c>
      <c r="B48" s="39" t="s">
        <v>1045</v>
      </c>
      <c r="C48" s="39" t="s">
        <v>1046</v>
      </c>
      <c r="D48" s="39" t="str">
        <f>"0,6962"</f>
        <v>0,6962</v>
      </c>
      <c r="E48" s="39" t="s">
        <v>17</v>
      </c>
      <c r="F48" s="39" t="s">
        <v>1047</v>
      </c>
      <c r="G48" s="39" t="s">
        <v>66</v>
      </c>
      <c r="H48" s="39" t="s">
        <v>1048</v>
      </c>
      <c r="I48" s="40" t="s">
        <v>505</v>
      </c>
      <c r="J48" s="40"/>
      <c r="K48" s="39">
        <v>202.5</v>
      </c>
      <c r="L48" s="39" t="str">
        <f>"140,9704"</f>
        <v>140,9704</v>
      </c>
      <c r="M48" s="39"/>
    </row>
    <row r="49" spans="1:13" ht="12.75">
      <c r="A49" s="43" t="s">
        <v>1049</v>
      </c>
      <c r="B49" s="43" t="s">
        <v>1050</v>
      </c>
      <c r="C49" s="43" t="s">
        <v>1051</v>
      </c>
      <c r="D49" s="43" t="str">
        <f>"0,7157"</f>
        <v>0,7157</v>
      </c>
      <c r="E49" s="43" t="s">
        <v>17</v>
      </c>
      <c r="F49" s="43" t="s">
        <v>352</v>
      </c>
      <c r="G49" s="43" t="s">
        <v>56</v>
      </c>
      <c r="H49" s="43" t="s">
        <v>57</v>
      </c>
      <c r="I49" s="44" t="s">
        <v>106</v>
      </c>
      <c r="J49" s="44"/>
      <c r="K49" s="43">
        <v>265</v>
      </c>
      <c r="L49" s="43" t="str">
        <f>"189,6473"</f>
        <v>189,6473</v>
      </c>
      <c r="M49" s="43"/>
    </row>
    <row r="50" spans="1:13" ht="12.75">
      <c r="A50" s="43" t="s">
        <v>1052</v>
      </c>
      <c r="B50" s="43" t="s">
        <v>1053</v>
      </c>
      <c r="C50" s="43" t="s">
        <v>696</v>
      </c>
      <c r="D50" s="43" t="str">
        <f>"0,6920"</f>
        <v>0,6920</v>
      </c>
      <c r="E50" s="43" t="s">
        <v>17</v>
      </c>
      <c r="F50" s="43" t="s">
        <v>101</v>
      </c>
      <c r="G50" s="43" t="s">
        <v>198</v>
      </c>
      <c r="H50" s="43" t="s">
        <v>1048</v>
      </c>
      <c r="I50" s="43" t="s">
        <v>505</v>
      </c>
      <c r="J50" s="44"/>
      <c r="K50" s="43">
        <v>207.5</v>
      </c>
      <c r="L50" s="43" t="str">
        <f>"143,5796"</f>
        <v>143,5796</v>
      </c>
      <c r="M50" s="43"/>
    </row>
    <row r="51" spans="1:13" ht="12.75">
      <c r="A51" s="43" t="s">
        <v>1054</v>
      </c>
      <c r="B51" s="43" t="s">
        <v>1055</v>
      </c>
      <c r="C51" s="43" t="s">
        <v>1046</v>
      </c>
      <c r="D51" s="43" t="str">
        <f>"0,6962"</f>
        <v>0,6962</v>
      </c>
      <c r="E51" s="43" t="s">
        <v>17</v>
      </c>
      <c r="F51" s="43" t="s">
        <v>101</v>
      </c>
      <c r="G51" s="43" t="s">
        <v>198</v>
      </c>
      <c r="H51" s="44" t="s">
        <v>1048</v>
      </c>
      <c r="I51" s="44" t="s">
        <v>1048</v>
      </c>
      <c r="J51" s="44"/>
      <c r="K51" s="43">
        <v>192.5</v>
      </c>
      <c r="L51" s="43" t="str">
        <f>"134,0089"</f>
        <v>134,0089</v>
      </c>
      <c r="M51" s="43"/>
    </row>
    <row r="52" spans="1:13" ht="12.75">
      <c r="A52" s="43" t="s">
        <v>1056</v>
      </c>
      <c r="B52" s="43" t="s">
        <v>1057</v>
      </c>
      <c r="C52" s="43" t="s">
        <v>1058</v>
      </c>
      <c r="D52" s="43" t="str">
        <f>"0,7224"</f>
        <v>0,7224</v>
      </c>
      <c r="E52" s="43" t="s">
        <v>85</v>
      </c>
      <c r="F52" s="43" t="s">
        <v>101</v>
      </c>
      <c r="G52" s="43" t="s">
        <v>22</v>
      </c>
      <c r="H52" s="43" t="s">
        <v>70</v>
      </c>
      <c r="I52" s="43" t="s">
        <v>33</v>
      </c>
      <c r="J52" s="44"/>
      <c r="K52" s="43">
        <v>220</v>
      </c>
      <c r="L52" s="43" t="str">
        <f>"158,9355"</f>
        <v>158,9355</v>
      </c>
      <c r="M52" s="43"/>
    </row>
    <row r="53" spans="1:13" ht="12.75">
      <c r="A53" s="41" t="s">
        <v>1059</v>
      </c>
      <c r="B53" s="41" t="s">
        <v>1060</v>
      </c>
      <c r="C53" s="41" t="s">
        <v>699</v>
      </c>
      <c r="D53" s="41" t="str">
        <f>"0,8765"</f>
        <v>0,8765</v>
      </c>
      <c r="E53" s="41" t="s">
        <v>17</v>
      </c>
      <c r="F53" s="41" t="s">
        <v>101</v>
      </c>
      <c r="G53" s="41" t="s">
        <v>66</v>
      </c>
      <c r="H53" s="42" t="s">
        <v>22</v>
      </c>
      <c r="I53" s="41" t="s">
        <v>22</v>
      </c>
      <c r="J53" s="42"/>
      <c r="K53" s="41">
        <v>200</v>
      </c>
      <c r="L53" s="41" t="str">
        <f>"175,3010"</f>
        <v>175,3010</v>
      </c>
      <c r="M53" s="41"/>
    </row>
    <row r="55" spans="1:12" ht="15">
      <c r="A55" s="54" t="s">
        <v>28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3" ht="12.75">
      <c r="A56" s="39" t="s">
        <v>1061</v>
      </c>
      <c r="B56" s="39" t="s">
        <v>1062</v>
      </c>
      <c r="C56" s="39" t="s">
        <v>1063</v>
      </c>
      <c r="D56" s="39" t="str">
        <f>"0,6618"</f>
        <v>0,6618</v>
      </c>
      <c r="E56" s="39" t="s">
        <v>17</v>
      </c>
      <c r="F56" s="39" t="s">
        <v>101</v>
      </c>
      <c r="G56" s="39" t="s">
        <v>264</v>
      </c>
      <c r="H56" s="40" t="s">
        <v>39</v>
      </c>
      <c r="I56" s="40"/>
      <c r="J56" s="40"/>
      <c r="K56" s="39">
        <v>205</v>
      </c>
      <c r="L56" s="39" t="str">
        <f>"135,6588"</f>
        <v>135,6588</v>
      </c>
      <c r="M56" s="39"/>
    </row>
    <row r="57" spans="1:13" ht="12.75">
      <c r="A57" s="43" t="s">
        <v>1064</v>
      </c>
      <c r="B57" s="43" t="s">
        <v>1065</v>
      </c>
      <c r="C57" s="43" t="s">
        <v>1066</v>
      </c>
      <c r="D57" s="43" t="str">
        <f>"0,6477"</f>
        <v>0,6477</v>
      </c>
      <c r="E57" s="43" t="s">
        <v>17</v>
      </c>
      <c r="F57" s="43" t="s">
        <v>1067</v>
      </c>
      <c r="G57" s="43" t="s">
        <v>35</v>
      </c>
      <c r="H57" s="43" t="s">
        <v>102</v>
      </c>
      <c r="I57" s="44" t="s">
        <v>95</v>
      </c>
      <c r="J57" s="44"/>
      <c r="K57" s="43">
        <v>255</v>
      </c>
      <c r="L57" s="43" t="str">
        <f>"165,1508"</f>
        <v>165,1508</v>
      </c>
      <c r="M57" s="43"/>
    </row>
    <row r="58" spans="1:13" ht="12.75">
      <c r="A58" s="43" t="s">
        <v>709</v>
      </c>
      <c r="B58" s="43" t="s">
        <v>710</v>
      </c>
      <c r="C58" s="43" t="s">
        <v>711</v>
      </c>
      <c r="D58" s="43" t="str">
        <f>"0,6497"</f>
        <v>0,6497</v>
      </c>
      <c r="E58" s="43" t="s">
        <v>17</v>
      </c>
      <c r="F58" s="43" t="s">
        <v>101</v>
      </c>
      <c r="G58" s="43" t="s">
        <v>33</v>
      </c>
      <c r="H58" s="43" t="s">
        <v>71</v>
      </c>
      <c r="I58" s="43" t="s">
        <v>34</v>
      </c>
      <c r="J58" s="44"/>
      <c r="K58" s="43">
        <v>235</v>
      </c>
      <c r="L58" s="43" t="str">
        <f>"152,6912"</f>
        <v>152,6912</v>
      </c>
      <c r="M58" s="43"/>
    </row>
    <row r="59" spans="1:13" ht="12.75">
      <c r="A59" s="43" t="s">
        <v>1068</v>
      </c>
      <c r="B59" s="43" t="s">
        <v>1069</v>
      </c>
      <c r="C59" s="43" t="s">
        <v>711</v>
      </c>
      <c r="D59" s="43" t="str">
        <f>"0,6497"</f>
        <v>0,6497</v>
      </c>
      <c r="E59" s="43" t="s">
        <v>17</v>
      </c>
      <c r="F59" s="43" t="s">
        <v>1070</v>
      </c>
      <c r="G59" s="43" t="s">
        <v>27</v>
      </c>
      <c r="H59" s="43" t="s">
        <v>39</v>
      </c>
      <c r="I59" s="44" t="s">
        <v>500</v>
      </c>
      <c r="J59" s="44"/>
      <c r="K59" s="43">
        <v>215</v>
      </c>
      <c r="L59" s="43" t="str">
        <f>"139,6962"</f>
        <v>139,6962</v>
      </c>
      <c r="M59" s="43"/>
    </row>
    <row r="60" spans="1:13" ht="12.75">
      <c r="A60" s="43" t="s">
        <v>1071</v>
      </c>
      <c r="B60" s="43" t="s">
        <v>1072</v>
      </c>
      <c r="C60" s="43" t="s">
        <v>465</v>
      </c>
      <c r="D60" s="43" t="str">
        <f>"0,6513"</f>
        <v>0,6513</v>
      </c>
      <c r="E60" s="43" t="s">
        <v>17</v>
      </c>
      <c r="F60" s="43" t="s">
        <v>932</v>
      </c>
      <c r="G60" s="43" t="s">
        <v>227</v>
      </c>
      <c r="H60" s="44" t="s">
        <v>21</v>
      </c>
      <c r="I60" s="44" t="s">
        <v>21</v>
      </c>
      <c r="J60" s="44"/>
      <c r="K60" s="43">
        <v>175</v>
      </c>
      <c r="L60" s="43" t="str">
        <f>"113,9775"</f>
        <v>113,9775</v>
      </c>
      <c r="M60" s="43"/>
    </row>
    <row r="61" spans="1:13" ht="12.75">
      <c r="A61" s="43" t="s">
        <v>1073</v>
      </c>
      <c r="B61" s="43" t="s">
        <v>1074</v>
      </c>
      <c r="C61" s="43" t="s">
        <v>1075</v>
      </c>
      <c r="D61" s="43" t="str">
        <f>"0,6801"</f>
        <v>0,6801</v>
      </c>
      <c r="E61" s="43" t="s">
        <v>44</v>
      </c>
      <c r="F61" s="43" t="s">
        <v>1076</v>
      </c>
      <c r="G61" s="43" t="s">
        <v>21</v>
      </c>
      <c r="H61" s="43" t="s">
        <v>22</v>
      </c>
      <c r="I61" s="43" t="s">
        <v>39</v>
      </c>
      <c r="J61" s="44"/>
      <c r="K61" s="43">
        <v>215</v>
      </c>
      <c r="L61" s="43" t="str">
        <f>"146,2114"</f>
        <v>146,2114</v>
      </c>
      <c r="M61" s="43"/>
    </row>
    <row r="62" spans="1:13" ht="12.75">
      <c r="A62" s="41" t="s">
        <v>1077</v>
      </c>
      <c r="B62" s="41" t="s">
        <v>1078</v>
      </c>
      <c r="C62" s="41" t="s">
        <v>465</v>
      </c>
      <c r="D62" s="41" t="str">
        <f>"0,7145"</f>
        <v>0,7145</v>
      </c>
      <c r="E62" s="41" t="s">
        <v>85</v>
      </c>
      <c r="F62" s="41" t="s">
        <v>1079</v>
      </c>
      <c r="G62" s="42" t="s">
        <v>222</v>
      </c>
      <c r="H62" s="42"/>
      <c r="I62" s="42"/>
      <c r="J62" s="42"/>
      <c r="K62" s="41">
        <v>0</v>
      </c>
      <c r="L62" s="41" t="str">
        <f>"0,0000"</f>
        <v>0,0000</v>
      </c>
      <c r="M62" s="41"/>
    </row>
    <row r="64" spans="1:12" ht="15">
      <c r="A64" s="54" t="s">
        <v>52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3" ht="12.75">
      <c r="A65" s="39" t="s">
        <v>1080</v>
      </c>
      <c r="B65" s="39" t="s">
        <v>1081</v>
      </c>
      <c r="C65" s="39" t="s">
        <v>1082</v>
      </c>
      <c r="D65" s="39" t="str">
        <f>"0,6263"</f>
        <v>0,6263</v>
      </c>
      <c r="E65" s="39" t="s">
        <v>17</v>
      </c>
      <c r="F65" s="39" t="s">
        <v>638</v>
      </c>
      <c r="G65" s="39" t="s">
        <v>175</v>
      </c>
      <c r="H65" s="39" t="s">
        <v>317</v>
      </c>
      <c r="I65" s="39" t="s">
        <v>37</v>
      </c>
      <c r="J65" s="40"/>
      <c r="K65" s="39">
        <v>155</v>
      </c>
      <c r="L65" s="39" t="str">
        <f>"97,0842"</f>
        <v>97,0842</v>
      </c>
      <c r="M65" s="39"/>
    </row>
    <row r="66" spans="1:13" ht="12.75">
      <c r="A66" s="43" t="s">
        <v>1083</v>
      </c>
      <c r="B66" s="43" t="s">
        <v>1084</v>
      </c>
      <c r="C66" s="43" t="s">
        <v>1085</v>
      </c>
      <c r="D66" s="43" t="str">
        <f>"0,6230"</f>
        <v>0,6230</v>
      </c>
      <c r="E66" s="43" t="s">
        <v>17</v>
      </c>
      <c r="F66" s="43" t="s">
        <v>1086</v>
      </c>
      <c r="G66" s="43" t="s">
        <v>102</v>
      </c>
      <c r="H66" s="43" t="s">
        <v>57</v>
      </c>
      <c r="I66" s="44" t="s">
        <v>58</v>
      </c>
      <c r="J66" s="44"/>
      <c r="K66" s="43">
        <v>265</v>
      </c>
      <c r="L66" s="43" t="str">
        <f>"165,0950"</f>
        <v>165,0950</v>
      </c>
      <c r="M66" s="43"/>
    </row>
    <row r="67" spans="1:13" ht="12.75">
      <c r="A67" s="43" t="s">
        <v>1087</v>
      </c>
      <c r="B67" s="43" t="s">
        <v>1088</v>
      </c>
      <c r="C67" s="43" t="s">
        <v>74</v>
      </c>
      <c r="D67" s="43" t="str">
        <f>"0,6141"</f>
        <v>0,6141</v>
      </c>
      <c r="E67" s="43" t="s">
        <v>17</v>
      </c>
      <c r="F67" s="43" t="s">
        <v>101</v>
      </c>
      <c r="G67" s="44" t="s">
        <v>60</v>
      </c>
      <c r="H67" s="44" t="s">
        <v>1089</v>
      </c>
      <c r="I67" s="44" t="s">
        <v>1090</v>
      </c>
      <c r="J67" s="44"/>
      <c r="K67" s="43">
        <v>0</v>
      </c>
      <c r="L67" s="43" t="str">
        <f>"0,0000"</f>
        <v>0,0000</v>
      </c>
      <c r="M67" s="43"/>
    </row>
    <row r="68" spans="1:13" ht="12.75">
      <c r="A68" s="43" t="s">
        <v>1091</v>
      </c>
      <c r="B68" s="43" t="s">
        <v>1092</v>
      </c>
      <c r="C68" s="43" t="s">
        <v>1093</v>
      </c>
      <c r="D68" s="43" t="str">
        <f>"0,6219"</f>
        <v>0,6219</v>
      </c>
      <c r="E68" s="43" t="s">
        <v>17</v>
      </c>
      <c r="F68" s="43" t="s">
        <v>495</v>
      </c>
      <c r="G68" s="43" t="s">
        <v>264</v>
      </c>
      <c r="H68" s="44" t="s">
        <v>39</v>
      </c>
      <c r="I68" s="43" t="s">
        <v>40</v>
      </c>
      <c r="J68" s="44"/>
      <c r="K68" s="43">
        <v>222.5</v>
      </c>
      <c r="L68" s="43" t="str">
        <f>"138,3632"</f>
        <v>138,3632</v>
      </c>
      <c r="M68" s="43"/>
    </row>
    <row r="69" spans="1:13" ht="12.75">
      <c r="A69" s="43" t="s">
        <v>1094</v>
      </c>
      <c r="B69" s="43" t="s">
        <v>1095</v>
      </c>
      <c r="C69" s="43" t="s">
        <v>905</v>
      </c>
      <c r="D69" s="43" t="str">
        <f>"0,7182"</f>
        <v>0,7182</v>
      </c>
      <c r="E69" s="43" t="s">
        <v>17</v>
      </c>
      <c r="F69" s="43" t="s">
        <v>927</v>
      </c>
      <c r="G69" s="43" t="s">
        <v>227</v>
      </c>
      <c r="H69" s="43" t="s">
        <v>21</v>
      </c>
      <c r="I69" s="44" t="s">
        <v>27</v>
      </c>
      <c r="J69" s="44"/>
      <c r="K69" s="43">
        <v>185</v>
      </c>
      <c r="L69" s="43" t="str">
        <f>"132,8604"</f>
        <v>132,8604</v>
      </c>
      <c r="M69" s="43"/>
    </row>
    <row r="70" spans="1:13" ht="12.75">
      <c r="A70" s="43" t="s">
        <v>1096</v>
      </c>
      <c r="B70" s="43" t="s">
        <v>1097</v>
      </c>
      <c r="C70" s="43" t="s">
        <v>1085</v>
      </c>
      <c r="D70" s="43" t="str">
        <f>"0,8510"</f>
        <v>0,8510</v>
      </c>
      <c r="E70" s="43" t="s">
        <v>17</v>
      </c>
      <c r="F70" s="43" t="s">
        <v>1098</v>
      </c>
      <c r="G70" s="43" t="s">
        <v>66</v>
      </c>
      <c r="H70" s="43" t="s">
        <v>70</v>
      </c>
      <c r="I70" s="44" t="s">
        <v>40</v>
      </c>
      <c r="J70" s="44"/>
      <c r="K70" s="43">
        <v>210</v>
      </c>
      <c r="L70" s="43" t="str">
        <f>"178,7138"</f>
        <v>178,7138</v>
      </c>
      <c r="M70" s="43"/>
    </row>
    <row r="71" spans="1:13" ht="12.75">
      <c r="A71" s="41" t="s">
        <v>1099</v>
      </c>
      <c r="B71" s="41" t="s">
        <v>1100</v>
      </c>
      <c r="C71" s="41" t="s">
        <v>1101</v>
      </c>
      <c r="D71" s="41" t="str">
        <f>"0,8488"</f>
        <v>0,8488</v>
      </c>
      <c r="E71" s="41" t="s">
        <v>795</v>
      </c>
      <c r="F71" s="41" t="s">
        <v>101</v>
      </c>
      <c r="G71" s="41" t="s">
        <v>317</v>
      </c>
      <c r="H71" s="41" t="s">
        <v>516</v>
      </c>
      <c r="I71" s="42" t="s">
        <v>19</v>
      </c>
      <c r="J71" s="42"/>
      <c r="K71" s="41">
        <v>152.5</v>
      </c>
      <c r="L71" s="41" t="str">
        <f>"129,4365"</f>
        <v>129,4365</v>
      </c>
      <c r="M71" s="41"/>
    </row>
    <row r="73" spans="1:12" ht="15">
      <c r="A73" s="54" t="s">
        <v>76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3" ht="12.75">
      <c r="A74" s="39" t="s">
        <v>1102</v>
      </c>
      <c r="B74" s="39" t="s">
        <v>1103</v>
      </c>
      <c r="C74" s="39" t="s">
        <v>1104</v>
      </c>
      <c r="D74" s="39" t="str">
        <f>"0,5993"</f>
        <v>0,5993</v>
      </c>
      <c r="E74" s="39" t="s">
        <v>17</v>
      </c>
      <c r="F74" s="39" t="s">
        <v>101</v>
      </c>
      <c r="G74" s="40" t="s">
        <v>1048</v>
      </c>
      <c r="H74" s="40" t="s">
        <v>70</v>
      </c>
      <c r="I74" s="39" t="s">
        <v>70</v>
      </c>
      <c r="J74" s="40"/>
      <c r="K74" s="39">
        <v>210</v>
      </c>
      <c r="L74" s="39" t="str">
        <f>"125,8530"</f>
        <v>125,8530</v>
      </c>
      <c r="M74" s="39"/>
    </row>
    <row r="75" spans="1:13" ht="12.75">
      <c r="A75" s="43" t="s">
        <v>1105</v>
      </c>
      <c r="B75" s="43" t="s">
        <v>1106</v>
      </c>
      <c r="C75" s="43" t="s">
        <v>1107</v>
      </c>
      <c r="D75" s="43" t="str">
        <f>"0,5843"</f>
        <v>0,5843</v>
      </c>
      <c r="E75" s="43" t="s">
        <v>85</v>
      </c>
      <c r="F75" s="43" t="s">
        <v>101</v>
      </c>
      <c r="G75" s="44" t="s">
        <v>34</v>
      </c>
      <c r="H75" s="43" t="s">
        <v>35</v>
      </c>
      <c r="I75" s="43" t="s">
        <v>102</v>
      </c>
      <c r="J75" s="44"/>
      <c r="K75" s="43">
        <v>255</v>
      </c>
      <c r="L75" s="43" t="str">
        <f>"148,9965"</f>
        <v>148,9965</v>
      </c>
      <c r="M75" s="43"/>
    </row>
    <row r="76" spans="1:13" ht="12.75">
      <c r="A76" s="43" t="s">
        <v>1108</v>
      </c>
      <c r="B76" s="43" t="s">
        <v>1109</v>
      </c>
      <c r="C76" s="43" t="s">
        <v>1110</v>
      </c>
      <c r="D76" s="43" t="str">
        <f>"0,6026"</f>
        <v>0,6026</v>
      </c>
      <c r="E76" s="43" t="s">
        <v>44</v>
      </c>
      <c r="F76" s="43" t="s">
        <v>45</v>
      </c>
      <c r="G76" s="43" t="s">
        <v>56</v>
      </c>
      <c r="H76" s="44" t="s">
        <v>105</v>
      </c>
      <c r="I76" s="44" t="s">
        <v>105</v>
      </c>
      <c r="J76" s="44"/>
      <c r="K76" s="43">
        <v>250</v>
      </c>
      <c r="L76" s="43" t="str">
        <f>"150,6625"</f>
        <v>150,6625</v>
      </c>
      <c r="M76" s="43"/>
    </row>
    <row r="77" spans="1:13" ht="12.75">
      <c r="A77" s="41" t="s">
        <v>552</v>
      </c>
      <c r="B77" s="41" t="s">
        <v>553</v>
      </c>
      <c r="C77" s="41" t="s">
        <v>554</v>
      </c>
      <c r="D77" s="41" t="str">
        <f>"0,8770"</f>
        <v>0,8770</v>
      </c>
      <c r="E77" s="41" t="s">
        <v>17</v>
      </c>
      <c r="F77" s="41" t="s">
        <v>555</v>
      </c>
      <c r="G77" s="41" t="s">
        <v>174</v>
      </c>
      <c r="H77" s="41" t="s">
        <v>69</v>
      </c>
      <c r="I77" s="41" t="s">
        <v>36</v>
      </c>
      <c r="J77" s="42"/>
      <c r="K77" s="41">
        <v>140</v>
      </c>
      <c r="L77" s="41" t="str">
        <f>"122,7764"</f>
        <v>122,7764</v>
      </c>
      <c r="M77" s="41"/>
    </row>
    <row r="79" spans="1:12" ht="15">
      <c r="A79" s="54" t="s">
        <v>88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1:13" ht="12.75">
      <c r="A80" s="37" t="s">
        <v>1111</v>
      </c>
      <c r="B80" s="37" t="s">
        <v>1112</v>
      </c>
      <c r="C80" s="37" t="s">
        <v>1113</v>
      </c>
      <c r="D80" s="37" t="str">
        <f>"0,5703"</f>
        <v>0,5703</v>
      </c>
      <c r="E80" s="37" t="s">
        <v>17</v>
      </c>
      <c r="F80" s="37" t="s">
        <v>101</v>
      </c>
      <c r="G80" s="37" t="s">
        <v>22</v>
      </c>
      <c r="H80" s="37" t="s">
        <v>505</v>
      </c>
      <c r="I80" s="37" t="s">
        <v>39</v>
      </c>
      <c r="J80" s="38"/>
      <c r="K80" s="37">
        <v>215</v>
      </c>
      <c r="L80" s="37" t="str">
        <f>"122,6145"</f>
        <v>122,6145</v>
      </c>
      <c r="M80" s="37"/>
    </row>
    <row r="82" spans="1:12" ht="15">
      <c r="A82" s="54" t="s">
        <v>97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3" ht="12.75">
      <c r="A83" s="39" t="s">
        <v>1114</v>
      </c>
      <c r="B83" s="39" t="s">
        <v>1115</v>
      </c>
      <c r="C83" s="39" t="s">
        <v>1116</v>
      </c>
      <c r="D83" s="39" t="str">
        <f>"0,5514"</f>
        <v>0,5514</v>
      </c>
      <c r="E83" s="39" t="s">
        <v>17</v>
      </c>
      <c r="F83" s="39" t="s">
        <v>331</v>
      </c>
      <c r="G83" s="39" t="s">
        <v>71</v>
      </c>
      <c r="H83" s="39" t="s">
        <v>523</v>
      </c>
      <c r="I83" s="40"/>
      <c r="J83" s="40"/>
      <c r="K83" s="39">
        <v>247.5</v>
      </c>
      <c r="L83" s="39" t="str">
        <f>"136,4715"</f>
        <v>136,4715</v>
      </c>
      <c r="M83" s="39"/>
    </row>
    <row r="84" spans="1:13" ht="12.75">
      <c r="A84" s="43" t="s">
        <v>830</v>
      </c>
      <c r="B84" s="43" t="s">
        <v>831</v>
      </c>
      <c r="C84" s="43" t="s">
        <v>832</v>
      </c>
      <c r="D84" s="43" t="str">
        <f>"0,5790"</f>
        <v>0,5790</v>
      </c>
      <c r="E84" s="43" t="s">
        <v>85</v>
      </c>
      <c r="F84" s="43" t="s">
        <v>45</v>
      </c>
      <c r="G84" s="43" t="s">
        <v>51</v>
      </c>
      <c r="H84" s="43" t="s">
        <v>34</v>
      </c>
      <c r="I84" s="44" t="s">
        <v>35</v>
      </c>
      <c r="J84" s="44"/>
      <c r="K84" s="43">
        <v>235</v>
      </c>
      <c r="L84" s="43" t="str">
        <f>"136,0578"</f>
        <v>136,0578</v>
      </c>
      <c r="M84" s="43"/>
    </row>
    <row r="85" spans="1:13" ht="12.75">
      <c r="A85" s="41" t="s">
        <v>1117</v>
      </c>
      <c r="B85" s="41" t="s">
        <v>1118</v>
      </c>
      <c r="C85" s="41" t="s">
        <v>1119</v>
      </c>
      <c r="D85" s="41" t="str">
        <f>"0,7909"</f>
        <v>0,7909</v>
      </c>
      <c r="E85" s="41" t="s">
        <v>17</v>
      </c>
      <c r="F85" s="41" t="s">
        <v>101</v>
      </c>
      <c r="G85" s="41" t="s">
        <v>222</v>
      </c>
      <c r="H85" s="41" t="s">
        <v>20</v>
      </c>
      <c r="I85" s="42" t="s">
        <v>22</v>
      </c>
      <c r="J85" s="42"/>
      <c r="K85" s="41">
        <v>180</v>
      </c>
      <c r="L85" s="41" t="str">
        <f>"142,3544"</f>
        <v>142,3544</v>
      </c>
      <c r="M85" s="41"/>
    </row>
    <row r="87" spans="1:12" ht="15">
      <c r="A87" s="54" t="s">
        <v>953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3" ht="12.75">
      <c r="A88" s="37" t="s">
        <v>1120</v>
      </c>
      <c r="B88" s="37" t="s">
        <v>1121</v>
      </c>
      <c r="C88" s="37" t="s">
        <v>1122</v>
      </c>
      <c r="D88" s="37" t="str">
        <f>"0,5221"</f>
        <v>0,5221</v>
      </c>
      <c r="E88" s="37" t="s">
        <v>44</v>
      </c>
      <c r="F88" s="37" t="s">
        <v>45</v>
      </c>
      <c r="G88" s="37" t="s">
        <v>59</v>
      </c>
      <c r="H88" s="37" t="s">
        <v>94</v>
      </c>
      <c r="I88" s="38" t="s">
        <v>112</v>
      </c>
      <c r="J88" s="38"/>
      <c r="K88" s="37">
        <v>300</v>
      </c>
      <c r="L88" s="37" t="str">
        <f>"156,6375"</f>
        <v>156,6375</v>
      </c>
      <c r="M88" s="37"/>
    </row>
    <row r="90" ht="15">
      <c r="E90" s="35" t="s">
        <v>113</v>
      </c>
    </row>
    <row r="91" ht="15">
      <c r="E91" s="35" t="s">
        <v>114</v>
      </c>
    </row>
    <row r="92" ht="15">
      <c r="E92" s="35" t="s">
        <v>115</v>
      </c>
    </row>
    <row r="93" ht="12.75">
      <c r="E93" s="34" t="s">
        <v>116</v>
      </c>
    </row>
    <row r="94" ht="12.75">
      <c r="E94" s="34" t="s">
        <v>117</v>
      </c>
    </row>
    <row r="95" ht="12.75">
      <c r="E95" s="34" t="s">
        <v>118</v>
      </c>
    </row>
    <row r="98" spans="1:2" ht="17.25">
      <c r="A98" s="36" t="s">
        <v>119</v>
      </c>
      <c r="B98" s="36"/>
    </row>
    <row r="99" spans="1:2" ht="15">
      <c r="A99" s="45" t="s">
        <v>231</v>
      </c>
      <c r="B99" s="45"/>
    </row>
    <row r="100" spans="1:2" ht="14.25">
      <c r="A100" s="47" t="s">
        <v>427</v>
      </c>
      <c r="B100" s="48"/>
    </row>
    <row r="101" spans="1:5" ht="13.5">
      <c r="A101" s="49" t="s">
        <v>0</v>
      </c>
      <c r="B101" s="49" t="s">
        <v>122</v>
      </c>
      <c r="C101" s="49" t="s">
        <v>123</v>
      </c>
      <c r="D101" s="49" t="s">
        <v>7</v>
      </c>
      <c r="E101" s="49" t="s">
        <v>124</v>
      </c>
    </row>
    <row r="102" spans="1:5" ht="12.75">
      <c r="A102" s="46" t="s">
        <v>1010</v>
      </c>
      <c r="B102" s="34" t="s">
        <v>840</v>
      </c>
      <c r="C102" s="34" t="s">
        <v>232</v>
      </c>
      <c r="D102" s="34" t="s">
        <v>183</v>
      </c>
      <c r="E102" s="50" t="s">
        <v>1123</v>
      </c>
    </row>
    <row r="104" spans="1:2" ht="14.25">
      <c r="A104" s="47" t="s">
        <v>132</v>
      </c>
      <c r="B104" s="48"/>
    </row>
    <row r="105" spans="1:5" ht="13.5">
      <c r="A105" s="49" t="s">
        <v>0</v>
      </c>
      <c r="B105" s="49" t="s">
        <v>122</v>
      </c>
      <c r="C105" s="49" t="s">
        <v>123</v>
      </c>
      <c r="D105" s="49" t="s">
        <v>7</v>
      </c>
      <c r="E105" s="49" t="s">
        <v>124</v>
      </c>
    </row>
    <row r="106" spans="1:5" ht="12.75">
      <c r="A106" s="46" t="s">
        <v>982</v>
      </c>
      <c r="B106" s="34" t="s">
        <v>132</v>
      </c>
      <c r="C106" s="34" t="s">
        <v>424</v>
      </c>
      <c r="D106" s="34" t="s">
        <v>47</v>
      </c>
      <c r="E106" s="50" t="s">
        <v>1124</v>
      </c>
    </row>
    <row r="107" spans="1:5" ht="12.75">
      <c r="A107" s="46" t="s">
        <v>620</v>
      </c>
      <c r="B107" s="34" t="s">
        <v>132</v>
      </c>
      <c r="C107" s="34" t="s">
        <v>240</v>
      </c>
      <c r="D107" s="34" t="s">
        <v>47</v>
      </c>
      <c r="E107" s="50" t="s">
        <v>1125</v>
      </c>
    </row>
    <row r="108" spans="1:5" ht="12.75">
      <c r="A108" s="46" t="s">
        <v>647</v>
      </c>
      <c r="B108" s="34" t="s">
        <v>132</v>
      </c>
      <c r="C108" s="34" t="s">
        <v>232</v>
      </c>
      <c r="D108" s="34" t="s">
        <v>36</v>
      </c>
      <c r="E108" s="50" t="s">
        <v>1126</v>
      </c>
    </row>
    <row r="109" spans="1:5" ht="12.75">
      <c r="A109" s="46" t="s">
        <v>996</v>
      </c>
      <c r="B109" s="34" t="s">
        <v>132</v>
      </c>
      <c r="C109" s="34" t="s">
        <v>129</v>
      </c>
      <c r="D109" s="34" t="s">
        <v>174</v>
      </c>
      <c r="E109" s="50" t="s">
        <v>1127</v>
      </c>
    </row>
    <row r="110" spans="1:5" ht="12.75">
      <c r="A110" s="46" t="s">
        <v>986</v>
      </c>
      <c r="B110" s="34" t="s">
        <v>132</v>
      </c>
      <c r="C110" s="34" t="s">
        <v>424</v>
      </c>
      <c r="D110" s="34" t="s">
        <v>164</v>
      </c>
      <c r="E110" s="50" t="s">
        <v>1128</v>
      </c>
    </row>
    <row r="111" spans="1:5" ht="12.75">
      <c r="A111" s="46" t="s">
        <v>1000</v>
      </c>
      <c r="B111" s="34" t="s">
        <v>132</v>
      </c>
      <c r="C111" s="34" t="s">
        <v>129</v>
      </c>
      <c r="D111" s="34" t="s">
        <v>87</v>
      </c>
      <c r="E111" s="50" t="s">
        <v>1129</v>
      </c>
    </row>
    <row r="112" spans="1:5" ht="12.75">
      <c r="A112" s="46" t="s">
        <v>989</v>
      </c>
      <c r="B112" s="34" t="s">
        <v>132</v>
      </c>
      <c r="C112" s="34" t="s">
        <v>422</v>
      </c>
      <c r="D112" s="34" t="s">
        <v>24</v>
      </c>
      <c r="E112" s="50" t="s">
        <v>1130</v>
      </c>
    </row>
    <row r="113" spans="1:5" ht="12.75">
      <c r="A113" s="46" t="s">
        <v>1003</v>
      </c>
      <c r="B113" s="34" t="s">
        <v>132</v>
      </c>
      <c r="C113" s="34" t="s">
        <v>129</v>
      </c>
      <c r="D113" s="34" t="s">
        <v>24</v>
      </c>
      <c r="E113" s="50" t="s">
        <v>1131</v>
      </c>
    </row>
    <row r="114" spans="1:5" ht="12.75">
      <c r="A114" s="46" t="s">
        <v>1006</v>
      </c>
      <c r="B114" s="34" t="s">
        <v>132</v>
      </c>
      <c r="C114" s="34" t="s">
        <v>129</v>
      </c>
      <c r="D114" s="34" t="s">
        <v>646</v>
      </c>
      <c r="E114" s="50" t="s">
        <v>1132</v>
      </c>
    </row>
    <row r="115" spans="1:5" ht="12.75">
      <c r="A115" s="46" t="s">
        <v>1014</v>
      </c>
      <c r="B115" s="34" t="s">
        <v>132</v>
      </c>
      <c r="C115" s="34" t="s">
        <v>232</v>
      </c>
      <c r="D115" s="34" t="s">
        <v>164</v>
      </c>
      <c r="E115" s="50" t="s">
        <v>1133</v>
      </c>
    </row>
    <row r="116" spans="1:5" ht="12.75">
      <c r="A116" s="46" t="s">
        <v>1032</v>
      </c>
      <c r="B116" s="34" t="s">
        <v>132</v>
      </c>
      <c r="C116" s="34" t="s">
        <v>139</v>
      </c>
      <c r="D116" s="34" t="s">
        <v>67</v>
      </c>
      <c r="E116" s="50" t="s">
        <v>1134</v>
      </c>
    </row>
    <row r="117" spans="1:5" ht="12.75">
      <c r="A117" s="46" t="s">
        <v>1035</v>
      </c>
      <c r="B117" s="34" t="s">
        <v>132</v>
      </c>
      <c r="C117" s="34" t="s">
        <v>139</v>
      </c>
      <c r="D117" s="34" t="s">
        <v>26</v>
      </c>
      <c r="E117" s="50" t="s">
        <v>1135</v>
      </c>
    </row>
    <row r="118" spans="1:5" ht="12.75">
      <c r="A118" s="46" t="s">
        <v>1017</v>
      </c>
      <c r="B118" s="34" t="s">
        <v>132</v>
      </c>
      <c r="C118" s="34" t="s">
        <v>235</v>
      </c>
      <c r="D118" s="34" t="s">
        <v>23</v>
      </c>
      <c r="E118" s="50" t="s">
        <v>1136</v>
      </c>
    </row>
    <row r="119" spans="1:5" ht="12.75">
      <c r="A119" s="46" t="s">
        <v>1020</v>
      </c>
      <c r="B119" s="34" t="s">
        <v>132</v>
      </c>
      <c r="C119" s="34" t="s">
        <v>235</v>
      </c>
      <c r="D119" s="34" t="s">
        <v>23</v>
      </c>
      <c r="E119" s="50" t="s">
        <v>1137</v>
      </c>
    </row>
    <row r="121" spans="1:2" ht="14.25">
      <c r="A121" s="47" t="s">
        <v>152</v>
      </c>
      <c r="B121" s="48"/>
    </row>
    <row r="122" spans="1:5" ht="13.5">
      <c r="A122" s="49" t="s">
        <v>0</v>
      </c>
      <c r="B122" s="49" t="s">
        <v>122</v>
      </c>
      <c r="C122" s="49" t="s">
        <v>123</v>
      </c>
      <c r="D122" s="49" t="s">
        <v>7</v>
      </c>
      <c r="E122" s="49" t="s">
        <v>124</v>
      </c>
    </row>
    <row r="123" spans="1:5" ht="12.75">
      <c r="A123" s="46" t="s">
        <v>992</v>
      </c>
      <c r="B123" s="34" t="s">
        <v>155</v>
      </c>
      <c r="C123" s="34" t="s">
        <v>240</v>
      </c>
      <c r="D123" s="34" t="s">
        <v>168</v>
      </c>
      <c r="E123" s="50" t="s">
        <v>1138</v>
      </c>
    </row>
    <row r="124" spans="1:5" ht="12.75">
      <c r="A124" s="46" t="s">
        <v>1023</v>
      </c>
      <c r="B124" s="34" t="s">
        <v>155</v>
      </c>
      <c r="C124" s="34" t="s">
        <v>235</v>
      </c>
      <c r="D124" s="34" t="s">
        <v>47</v>
      </c>
      <c r="E124" s="50" t="s">
        <v>1139</v>
      </c>
    </row>
    <row r="125" spans="1:5" ht="12.75">
      <c r="A125" s="46" t="s">
        <v>1008</v>
      </c>
      <c r="B125" s="34" t="s">
        <v>153</v>
      </c>
      <c r="C125" s="34" t="s">
        <v>129</v>
      </c>
      <c r="D125" s="34" t="s">
        <v>67</v>
      </c>
      <c r="E125" s="50" t="s">
        <v>1140</v>
      </c>
    </row>
    <row r="126" spans="1:5" ht="12.75">
      <c r="A126" s="46" t="s">
        <v>1026</v>
      </c>
      <c r="B126" s="34" t="s">
        <v>155</v>
      </c>
      <c r="C126" s="34" t="s">
        <v>235</v>
      </c>
      <c r="D126" s="34" t="s">
        <v>67</v>
      </c>
      <c r="E126" s="50" t="s">
        <v>1141</v>
      </c>
    </row>
    <row r="127" spans="1:5" ht="12.75">
      <c r="A127" s="46" t="s">
        <v>1029</v>
      </c>
      <c r="B127" s="34" t="s">
        <v>155</v>
      </c>
      <c r="C127" s="34" t="s">
        <v>235</v>
      </c>
      <c r="D127" s="34" t="s">
        <v>23</v>
      </c>
      <c r="E127" s="50" t="s">
        <v>1142</v>
      </c>
    </row>
    <row r="130" spans="1:2" ht="15">
      <c r="A130" s="45" t="s">
        <v>120</v>
      </c>
      <c r="B130" s="45"/>
    </row>
    <row r="131" spans="1:2" ht="14.25">
      <c r="A131" s="47" t="s">
        <v>427</v>
      </c>
      <c r="B131" s="48"/>
    </row>
    <row r="132" spans="1:5" ht="13.5">
      <c r="A132" s="49" t="s">
        <v>0</v>
      </c>
      <c r="B132" s="49" t="s">
        <v>122</v>
      </c>
      <c r="C132" s="49" t="s">
        <v>123</v>
      </c>
      <c r="D132" s="49" t="s">
        <v>7</v>
      </c>
      <c r="E132" s="49" t="s">
        <v>124</v>
      </c>
    </row>
    <row r="133" spans="1:5" ht="12.75">
      <c r="A133" s="46" t="s">
        <v>1080</v>
      </c>
      <c r="B133" s="34" t="s">
        <v>1143</v>
      </c>
      <c r="C133" s="34" t="s">
        <v>126</v>
      </c>
      <c r="D133" s="34" t="s">
        <v>37</v>
      </c>
      <c r="E133" s="50" t="s">
        <v>1144</v>
      </c>
    </row>
    <row r="135" spans="1:2" ht="14.25">
      <c r="A135" s="47" t="s">
        <v>121</v>
      </c>
      <c r="B135" s="48"/>
    </row>
    <row r="136" spans="1:5" ht="13.5">
      <c r="A136" s="49" t="s">
        <v>0</v>
      </c>
      <c r="B136" s="49" t="s">
        <v>122</v>
      </c>
      <c r="C136" s="49" t="s">
        <v>123</v>
      </c>
      <c r="D136" s="49" t="s">
        <v>7</v>
      </c>
      <c r="E136" s="49" t="s">
        <v>124</v>
      </c>
    </row>
    <row r="137" spans="1:5" ht="12.75">
      <c r="A137" s="46" t="s">
        <v>497</v>
      </c>
      <c r="B137" s="34" t="s">
        <v>125</v>
      </c>
      <c r="C137" s="34" t="s">
        <v>232</v>
      </c>
      <c r="D137" s="34" t="s">
        <v>500</v>
      </c>
      <c r="E137" s="50" t="s">
        <v>1145</v>
      </c>
    </row>
    <row r="138" spans="1:5" ht="12.75">
      <c r="A138" s="46" t="s">
        <v>1038</v>
      </c>
      <c r="B138" s="34" t="s">
        <v>125</v>
      </c>
      <c r="C138" s="34" t="s">
        <v>129</v>
      </c>
      <c r="D138" s="34" t="s">
        <v>21</v>
      </c>
      <c r="E138" s="50" t="s">
        <v>1146</v>
      </c>
    </row>
    <row r="139" spans="1:5" ht="12.75">
      <c r="A139" s="46" t="s">
        <v>1041</v>
      </c>
      <c r="B139" s="34" t="s">
        <v>125</v>
      </c>
      <c r="C139" s="34" t="s">
        <v>129</v>
      </c>
      <c r="D139" s="34" t="s">
        <v>104</v>
      </c>
      <c r="E139" s="50" t="s">
        <v>1147</v>
      </c>
    </row>
    <row r="140" spans="1:5" ht="12.75">
      <c r="A140" s="46" t="s">
        <v>1044</v>
      </c>
      <c r="B140" s="34" t="s">
        <v>125</v>
      </c>
      <c r="C140" s="34" t="s">
        <v>235</v>
      </c>
      <c r="D140" s="34" t="s">
        <v>1048</v>
      </c>
      <c r="E140" s="50" t="s">
        <v>1148</v>
      </c>
    </row>
    <row r="141" spans="1:5" ht="12.75">
      <c r="A141" s="46" t="s">
        <v>1061</v>
      </c>
      <c r="B141" s="34" t="s">
        <v>125</v>
      </c>
      <c r="C141" s="34" t="s">
        <v>139</v>
      </c>
      <c r="D141" s="34" t="s">
        <v>264</v>
      </c>
      <c r="E141" s="50" t="s">
        <v>1149</v>
      </c>
    </row>
    <row r="142" spans="1:5" ht="12.75">
      <c r="A142" s="46" t="s">
        <v>493</v>
      </c>
      <c r="B142" s="34" t="s">
        <v>125</v>
      </c>
      <c r="C142" s="34" t="s">
        <v>129</v>
      </c>
      <c r="D142" s="34" t="s">
        <v>19</v>
      </c>
      <c r="E142" s="50" t="s">
        <v>1150</v>
      </c>
    </row>
    <row r="143" spans="1:5" ht="12.75">
      <c r="A143" s="46" t="s">
        <v>1102</v>
      </c>
      <c r="B143" s="34" t="s">
        <v>125</v>
      </c>
      <c r="C143" s="34" t="s">
        <v>149</v>
      </c>
      <c r="D143" s="34" t="s">
        <v>70</v>
      </c>
      <c r="E143" s="50" t="s">
        <v>1151</v>
      </c>
    </row>
    <row r="145" spans="1:2" ht="14.25">
      <c r="A145" s="47" t="s">
        <v>132</v>
      </c>
      <c r="B145" s="48"/>
    </row>
    <row r="146" spans="1:5" ht="13.5">
      <c r="A146" s="49" t="s">
        <v>0</v>
      </c>
      <c r="B146" s="49" t="s">
        <v>122</v>
      </c>
      <c r="C146" s="49" t="s">
        <v>123</v>
      </c>
      <c r="D146" s="49" t="s">
        <v>7</v>
      </c>
      <c r="E146" s="49" t="s">
        <v>124</v>
      </c>
    </row>
    <row r="147" spans="1:5" ht="12.75">
      <c r="A147" s="46" t="s">
        <v>1049</v>
      </c>
      <c r="B147" s="34" t="s">
        <v>132</v>
      </c>
      <c r="C147" s="34" t="s">
        <v>235</v>
      </c>
      <c r="D147" s="34" t="s">
        <v>57</v>
      </c>
      <c r="E147" s="50" t="s">
        <v>1152</v>
      </c>
    </row>
    <row r="148" spans="1:5" ht="12.75">
      <c r="A148" s="46" t="s">
        <v>1064</v>
      </c>
      <c r="B148" s="34" t="s">
        <v>132</v>
      </c>
      <c r="C148" s="34" t="s">
        <v>139</v>
      </c>
      <c r="D148" s="34" t="s">
        <v>102</v>
      </c>
      <c r="E148" s="50" t="s">
        <v>1153</v>
      </c>
    </row>
    <row r="149" spans="1:5" ht="12.75">
      <c r="A149" s="46" t="s">
        <v>1083</v>
      </c>
      <c r="B149" s="34" t="s">
        <v>132</v>
      </c>
      <c r="C149" s="34" t="s">
        <v>126</v>
      </c>
      <c r="D149" s="34" t="s">
        <v>57</v>
      </c>
      <c r="E149" s="50" t="s">
        <v>1154</v>
      </c>
    </row>
    <row r="150" spans="1:5" ht="12.75">
      <c r="A150" s="46" t="s">
        <v>1120</v>
      </c>
      <c r="B150" s="34" t="s">
        <v>132</v>
      </c>
      <c r="C150" s="34" t="s">
        <v>970</v>
      </c>
      <c r="D150" s="34" t="s">
        <v>94</v>
      </c>
      <c r="E150" s="50" t="s">
        <v>1155</v>
      </c>
    </row>
    <row r="151" spans="1:5" ht="12.75">
      <c r="A151" s="46" t="s">
        <v>709</v>
      </c>
      <c r="B151" s="34" t="s">
        <v>132</v>
      </c>
      <c r="C151" s="34" t="s">
        <v>139</v>
      </c>
      <c r="D151" s="34" t="s">
        <v>34</v>
      </c>
      <c r="E151" s="50" t="s">
        <v>1156</v>
      </c>
    </row>
    <row r="152" spans="1:5" ht="12.75">
      <c r="A152" s="46" t="s">
        <v>1108</v>
      </c>
      <c r="B152" s="34" t="s">
        <v>132</v>
      </c>
      <c r="C152" s="34" t="s">
        <v>149</v>
      </c>
      <c r="D152" s="34" t="s">
        <v>56</v>
      </c>
      <c r="E152" s="50" t="s">
        <v>1157</v>
      </c>
    </row>
    <row r="153" spans="1:5" ht="12.75">
      <c r="A153" s="46" t="s">
        <v>1105</v>
      </c>
      <c r="B153" s="34" t="s">
        <v>132</v>
      </c>
      <c r="C153" s="34" t="s">
        <v>149</v>
      </c>
      <c r="D153" s="34" t="s">
        <v>102</v>
      </c>
      <c r="E153" s="50" t="s">
        <v>1158</v>
      </c>
    </row>
    <row r="154" spans="1:5" ht="12.75">
      <c r="A154" s="46" t="s">
        <v>1052</v>
      </c>
      <c r="B154" s="34" t="s">
        <v>132</v>
      </c>
      <c r="C154" s="34" t="s">
        <v>235</v>
      </c>
      <c r="D154" s="34" t="s">
        <v>505</v>
      </c>
      <c r="E154" s="50" t="s">
        <v>1159</v>
      </c>
    </row>
    <row r="155" spans="1:5" ht="12.75">
      <c r="A155" s="46" t="s">
        <v>1068</v>
      </c>
      <c r="B155" s="34" t="s">
        <v>132</v>
      </c>
      <c r="C155" s="34" t="s">
        <v>139</v>
      </c>
      <c r="D155" s="34" t="s">
        <v>39</v>
      </c>
      <c r="E155" s="50" t="s">
        <v>1160</v>
      </c>
    </row>
    <row r="156" spans="1:5" ht="12.75">
      <c r="A156" s="46" t="s">
        <v>1114</v>
      </c>
      <c r="B156" s="34" t="s">
        <v>132</v>
      </c>
      <c r="C156" s="34" t="s">
        <v>142</v>
      </c>
      <c r="D156" s="34" t="s">
        <v>523</v>
      </c>
      <c r="E156" s="50" t="s">
        <v>1161</v>
      </c>
    </row>
    <row r="157" spans="1:5" ht="12.75">
      <c r="A157" s="46" t="s">
        <v>1054</v>
      </c>
      <c r="B157" s="34" t="s">
        <v>132</v>
      </c>
      <c r="C157" s="34" t="s">
        <v>235</v>
      </c>
      <c r="D157" s="34" t="s">
        <v>198</v>
      </c>
      <c r="E157" s="50" t="s">
        <v>1162</v>
      </c>
    </row>
    <row r="158" spans="1:5" ht="12.75">
      <c r="A158" s="46" t="s">
        <v>1111</v>
      </c>
      <c r="B158" s="34" t="s">
        <v>132</v>
      </c>
      <c r="C158" s="34" t="s">
        <v>133</v>
      </c>
      <c r="D158" s="34" t="s">
        <v>39</v>
      </c>
      <c r="E158" s="50" t="s">
        <v>1163</v>
      </c>
    </row>
    <row r="159" spans="1:5" ht="12.75">
      <c r="A159" s="46" t="s">
        <v>1071</v>
      </c>
      <c r="B159" s="34" t="s">
        <v>132</v>
      </c>
      <c r="C159" s="34" t="s">
        <v>139</v>
      </c>
      <c r="D159" s="34" t="s">
        <v>227</v>
      </c>
      <c r="E159" s="50" t="s">
        <v>1164</v>
      </c>
    </row>
    <row r="161" spans="1:2" ht="14.25">
      <c r="A161" s="47" t="s">
        <v>152</v>
      </c>
      <c r="B161" s="48"/>
    </row>
    <row r="162" spans="1:5" ht="13.5">
      <c r="A162" s="49" t="s">
        <v>0</v>
      </c>
      <c r="B162" s="49" t="s">
        <v>122</v>
      </c>
      <c r="C162" s="49" t="s">
        <v>123</v>
      </c>
      <c r="D162" s="49" t="s">
        <v>7</v>
      </c>
      <c r="E162" s="49" t="s">
        <v>124</v>
      </c>
    </row>
    <row r="163" spans="1:5" ht="12.75">
      <c r="A163" s="46" t="s">
        <v>1096</v>
      </c>
      <c r="B163" s="34" t="s">
        <v>449</v>
      </c>
      <c r="C163" s="34" t="s">
        <v>126</v>
      </c>
      <c r="D163" s="34" t="s">
        <v>70</v>
      </c>
      <c r="E163" s="50" t="s">
        <v>1165</v>
      </c>
    </row>
    <row r="164" spans="1:5" ht="12.75">
      <c r="A164" s="46" t="s">
        <v>1059</v>
      </c>
      <c r="B164" s="34" t="s">
        <v>270</v>
      </c>
      <c r="C164" s="34" t="s">
        <v>235</v>
      </c>
      <c r="D164" s="34" t="s">
        <v>22</v>
      </c>
      <c r="E164" s="50" t="s">
        <v>1166</v>
      </c>
    </row>
    <row r="165" spans="1:5" ht="12.75">
      <c r="A165" s="46" t="s">
        <v>1056</v>
      </c>
      <c r="B165" s="34" t="s">
        <v>153</v>
      </c>
      <c r="C165" s="34" t="s">
        <v>235</v>
      </c>
      <c r="D165" s="34" t="s">
        <v>33</v>
      </c>
      <c r="E165" s="50" t="s">
        <v>1167</v>
      </c>
    </row>
    <row r="166" spans="1:5" ht="12.75">
      <c r="A166" s="46" t="s">
        <v>1073</v>
      </c>
      <c r="B166" s="34" t="s">
        <v>155</v>
      </c>
      <c r="C166" s="34" t="s">
        <v>139</v>
      </c>
      <c r="D166" s="34" t="s">
        <v>39</v>
      </c>
      <c r="E166" s="50" t="s">
        <v>1168</v>
      </c>
    </row>
    <row r="167" spans="1:5" ht="12.75">
      <c r="A167" s="46" t="s">
        <v>1117</v>
      </c>
      <c r="B167" s="34" t="s">
        <v>449</v>
      </c>
      <c r="C167" s="34" t="s">
        <v>142</v>
      </c>
      <c r="D167" s="34" t="s">
        <v>20</v>
      </c>
      <c r="E167" s="50" t="s">
        <v>1169</v>
      </c>
    </row>
    <row r="168" spans="1:5" ht="12.75">
      <c r="A168" s="46" t="s">
        <v>1091</v>
      </c>
      <c r="B168" s="34" t="s">
        <v>153</v>
      </c>
      <c r="C168" s="34" t="s">
        <v>126</v>
      </c>
      <c r="D168" s="34" t="s">
        <v>40</v>
      </c>
      <c r="E168" s="50" t="s">
        <v>1170</v>
      </c>
    </row>
    <row r="169" spans="1:5" ht="12.75">
      <c r="A169" s="46" t="s">
        <v>830</v>
      </c>
      <c r="B169" s="34" t="s">
        <v>153</v>
      </c>
      <c r="C169" s="34" t="s">
        <v>142</v>
      </c>
      <c r="D169" s="34" t="s">
        <v>34</v>
      </c>
      <c r="E169" s="50" t="s">
        <v>1171</v>
      </c>
    </row>
    <row r="170" spans="1:5" ht="12.75">
      <c r="A170" s="46" t="s">
        <v>1094</v>
      </c>
      <c r="B170" s="34" t="s">
        <v>447</v>
      </c>
      <c r="C170" s="34" t="s">
        <v>126</v>
      </c>
      <c r="D170" s="34" t="s">
        <v>21</v>
      </c>
      <c r="E170" s="50" t="s">
        <v>1172</v>
      </c>
    </row>
    <row r="171" spans="1:5" ht="12.75">
      <c r="A171" s="46" t="s">
        <v>1099</v>
      </c>
      <c r="B171" s="34" t="s">
        <v>449</v>
      </c>
      <c r="C171" s="34" t="s">
        <v>126</v>
      </c>
      <c r="D171" s="34" t="s">
        <v>516</v>
      </c>
      <c r="E171" s="50" t="s">
        <v>1173</v>
      </c>
    </row>
    <row r="172" spans="1:5" ht="12.75">
      <c r="A172" s="46" t="s">
        <v>552</v>
      </c>
      <c r="B172" s="34" t="s">
        <v>598</v>
      </c>
      <c r="C172" s="34" t="s">
        <v>149</v>
      </c>
      <c r="D172" s="34" t="s">
        <v>36</v>
      </c>
      <c r="E172" s="50" t="s">
        <v>1174</v>
      </c>
    </row>
  </sheetData>
  <sheetProtection/>
  <mergeCells count="27">
    <mergeCell ref="A79:L79"/>
    <mergeCell ref="A28:L28"/>
    <mergeCell ref="A35:L35"/>
    <mergeCell ref="A39:L39"/>
    <mergeCell ref="A82:L82"/>
    <mergeCell ref="A87:L87"/>
    <mergeCell ref="A44:L44"/>
    <mergeCell ref="A47:L47"/>
    <mergeCell ref="A55:L55"/>
    <mergeCell ref="A64:L64"/>
    <mergeCell ref="A73:L73"/>
    <mergeCell ref="M3:M4"/>
    <mergeCell ref="A5:L5"/>
    <mergeCell ref="A9:L9"/>
    <mergeCell ref="A12:L12"/>
    <mergeCell ref="A16:L16"/>
    <mergeCell ref="A23:L2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14.625" style="34" bestFit="1" customWidth="1"/>
    <col min="7" max="9" width="5.50390625" style="34" bestFit="1" customWidth="1"/>
    <col min="10" max="10" width="4.875" style="34" bestFit="1" customWidth="1"/>
    <col min="11" max="13" width="5.50390625" style="34" bestFit="1" customWidth="1"/>
    <col min="14" max="14" width="4.875" style="34" bestFit="1" customWidth="1"/>
    <col min="15" max="17" width="5.50390625" style="34" bestFit="1" customWidth="1"/>
    <col min="18" max="18" width="4.875" style="34" bestFit="1" customWidth="1"/>
    <col min="19" max="19" width="6.625" style="34" bestFit="1" customWidth="1"/>
    <col min="20" max="20" width="8.50390625" style="34" bestFit="1" customWidth="1"/>
    <col min="21" max="21" width="7.50390625" style="34" bestFit="1" customWidth="1"/>
  </cols>
  <sheetData>
    <row r="1" spans="1:21" s="1" customFormat="1" ht="15" customHeight="1">
      <c r="A1" s="55" t="s">
        <v>1455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1" customFormat="1" ht="80.2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7" customFormat="1" ht="12.7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4</v>
      </c>
      <c r="H3" s="65"/>
      <c r="I3" s="65"/>
      <c r="J3" s="51"/>
      <c r="K3" s="61" t="s">
        <v>5</v>
      </c>
      <c r="L3" s="65"/>
      <c r="M3" s="65"/>
      <c r="N3" s="51"/>
      <c r="O3" s="61" t="s">
        <v>6</v>
      </c>
      <c r="P3" s="65"/>
      <c r="Q3" s="65"/>
      <c r="R3" s="51"/>
      <c r="S3" s="66" t="s">
        <v>7</v>
      </c>
      <c r="T3" s="65" t="s">
        <v>9</v>
      </c>
      <c r="U3" s="51" t="s">
        <v>8</v>
      </c>
    </row>
    <row r="4" spans="1:21" s="7" customFormat="1" ht="23.2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67"/>
      <c r="T4" s="64"/>
      <c r="U4" s="52"/>
    </row>
    <row r="5" spans="1:20" ht="15">
      <c r="A5" s="53" t="s">
        <v>176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 ht="12.75">
      <c r="A6" s="37" t="s">
        <v>255</v>
      </c>
      <c r="B6" s="37" t="s">
        <v>256</v>
      </c>
      <c r="C6" s="37" t="s">
        <v>257</v>
      </c>
      <c r="D6" s="37" t="str">
        <f>"0,7494"</f>
        <v>0,7494</v>
      </c>
      <c r="E6" s="37" t="s">
        <v>17</v>
      </c>
      <c r="F6" s="37" t="s">
        <v>258</v>
      </c>
      <c r="G6" s="37" t="s">
        <v>47</v>
      </c>
      <c r="H6" s="37" t="s">
        <v>49</v>
      </c>
      <c r="I6" s="37" t="s">
        <v>20</v>
      </c>
      <c r="J6" s="38"/>
      <c r="K6" s="37" t="s">
        <v>24</v>
      </c>
      <c r="L6" s="37" t="s">
        <v>174</v>
      </c>
      <c r="M6" s="37" t="s">
        <v>259</v>
      </c>
      <c r="N6" s="38"/>
      <c r="O6" s="37" t="s">
        <v>47</v>
      </c>
      <c r="P6" s="37" t="s">
        <v>19</v>
      </c>
      <c r="Q6" s="37" t="s">
        <v>21</v>
      </c>
      <c r="R6" s="38"/>
      <c r="S6" s="37">
        <v>502.5</v>
      </c>
      <c r="T6" s="37" t="str">
        <f>"376,5484"</f>
        <v>376,5484</v>
      </c>
      <c r="U6" s="37"/>
    </row>
    <row r="8" spans="1:20" ht="15">
      <c r="A8" s="54" t="s">
        <v>88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1" ht="12.75">
      <c r="A9" s="39" t="s">
        <v>260</v>
      </c>
      <c r="B9" s="39" t="s">
        <v>261</v>
      </c>
      <c r="C9" s="39" t="s">
        <v>262</v>
      </c>
      <c r="D9" s="39" t="str">
        <f>"0,5642"</f>
        <v>0,5642</v>
      </c>
      <c r="E9" s="39" t="s">
        <v>85</v>
      </c>
      <c r="F9" s="39" t="s">
        <v>263</v>
      </c>
      <c r="G9" s="39" t="s">
        <v>221</v>
      </c>
      <c r="H9" s="39" t="s">
        <v>95</v>
      </c>
      <c r="I9" s="40" t="s">
        <v>96</v>
      </c>
      <c r="J9" s="40"/>
      <c r="K9" s="39" t="s">
        <v>264</v>
      </c>
      <c r="L9" s="39" t="s">
        <v>46</v>
      </c>
      <c r="M9" s="40" t="s">
        <v>33</v>
      </c>
      <c r="N9" s="40"/>
      <c r="O9" s="39" t="s">
        <v>71</v>
      </c>
      <c r="P9" s="39" t="s">
        <v>56</v>
      </c>
      <c r="Q9" s="40"/>
      <c r="R9" s="40"/>
      <c r="S9" s="39">
        <v>722.5</v>
      </c>
      <c r="T9" s="39" t="str">
        <f>"407,6706"</f>
        <v>407,6706</v>
      </c>
      <c r="U9" s="39"/>
    </row>
    <row r="10" spans="1:21" ht="12.75">
      <c r="A10" s="41" t="s">
        <v>260</v>
      </c>
      <c r="B10" s="41" t="s">
        <v>265</v>
      </c>
      <c r="C10" s="41" t="s">
        <v>262</v>
      </c>
      <c r="D10" s="41" t="str">
        <f>"0,6912"</f>
        <v>0,6912</v>
      </c>
      <c r="E10" s="41" t="s">
        <v>85</v>
      </c>
      <c r="F10" s="41" t="s">
        <v>263</v>
      </c>
      <c r="G10" s="41" t="s">
        <v>221</v>
      </c>
      <c r="H10" s="41" t="s">
        <v>95</v>
      </c>
      <c r="I10" s="42" t="s">
        <v>96</v>
      </c>
      <c r="J10" s="42"/>
      <c r="K10" s="41" t="s">
        <v>264</v>
      </c>
      <c r="L10" s="41" t="s">
        <v>46</v>
      </c>
      <c r="M10" s="42" t="s">
        <v>33</v>
      </c>
      <c r="N10" s="42"/>
      <c r="O10" s="41" t="s">
        <v>71</v>
      </c>
      <c r="P10" s="41" t="s">
        <v>56</v>
      </c>
      <c r="Q10" s="42"/>
      <c r="R10" s="42"/>
      <c r="S10" s="41">
        <v>722.5</v>
      </c>
      <c r="T10" s="41" t="str">
        <f>"499,3965"</f>
        <v>499,3965</v>
      </c>
      <c r="U10" s="41"/>
    </row>
    <row r="12" ht="15">
      <c r="E12" s="35" t="s">
        <v>113</v>
      </c>
    </row>
    <row r="13" ht="15">
      <c r="E13" s="35" t="s">
        <v>114</v>
      </c>
    </row>
    <row r="14" ht="15">
      <c r="E14" s="35" t="s">
        <v>115</v>
      </c>
    </row>
    <row r="15" ht="12.75">
      <c r="E15" s="34" t="s">
        <v>116</v>
      </c>
    </row>
    <row r="16" ht="12.75">
      <c r="E16" s="34" t="s">
        <v>117</v>
      </c>
    </row>
    <row r="17" ht="12.75">
      <c r="E17" s="34" t="s">
        <v>118</v>
      </c>
    </row>
    <row r="20" spans="1:2" ht="17.25">
      <c r="A20" s="36" t="s">
        <v>119</v>
      </c>
      <c r="B20" s="36"/>
    </row>
    <row r="21" spans="1:2" ht="15">
      <c r="A21" s="45" t="s">
        <v>120</v>
      </c>
      <c r="B21" s="45"/>
    </row>
    <row r="22" spans="1:2" ht="14.25">
      <c r="A22" s="47" t="s">
        <v>132</v>
      </c>
      <c r="B22" s="48"/>
    </row>
    <row r="23" spans="1:5" ht="13.5">
      <c r="A23" s="49" t="s">
        <v>0</v>
      </c>
      <c r="B23" s="49" t="s">
        <v>122</v>
      </c>
      <c r="C23" s="49" t="s">
        <v>123</v>
      </c>
      <c r="D23" s="49" t="s">
        <v>7</v>
      </c>
      <c r="E23" s="49" t="s">
        <v>124</v>
      </c>
    </row>
    <row r="24" spans="1:5" ht="12.75">
      <c r="A24" s="46" t="s">
        <v>260</v>
      </c>
      <c r="B24" s="34" t="s">
        <v>132</v>
      </c>
      <c r="C24" s="34" t="s">
        <v>133</v>
      </c>
      <c r="D24" s="34" t="s">
        <v>266</v>
      </c>
      <c r="E24" s="50" t="s">
        <v>267</v>
      </c>
    </row>
    <row r="25" spans="1:5" ht="12.75">
      <c r="A25" s="46" t="s">
        <v>255</v>
      </c>
      <c r="B25" s="34" t="s">
        <v>132</v>
      </c>
      <c r="C25" s="34" t="s">
        <v>232</v>
      </c>
      <c r="D25" s="34" t="s">
        <v>268</v>
      </c>
      <c r="E25" s="50" t="s">
        <v>269</v>
      </c>
    </row>
    <row r="27" spans="1:2" ht="14.25">
      <c r="A27" s="47" t="s">
        <v>152</v>
      </c>
      <c r="B27" s="48"/>
    </row>
    <row r="28" spans="1:5" ht="13.5">
      <c r="A28" s="49" t="s">
        <v>0</v>
      </c>
      <c r="B28" s="49" t="s">
        <v>122</v>
      </c>
      <c r="C28" s="49" t="s">
        <v>123</v>
      </c>
      <c r="D28" s="49" t="s">
        <v>7</v>
      </c>
      <c r="E28" s="49" t="s">
        <v>124</v>
      </c>
    </row>
    <row r="29" spans="1:5" ht="12.75">
      <c r="A29" s="46" t="s">
        <v>260</v>
      </c>
      <c r="B29" s="34" t="s">
        <v>270</v>
      </c>
      <c r="C29" s="34" t="s">
        <v>133</v>
      </c>
      <c r="D29" s="34" t="s">
        <v>266</v>
      </c>
      <c r="E29" s="50" t="s">
        <v>271</v>
      </c>
    </row>
  </sheetData>
  <sheetProtection/>
  <mergeCells count="15"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A21" sqref="A21:L21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32.50390625" style="34" bestFit="1" customWidth="1"/>
    <col min="7" max="10" width="5.50390625" style="34" bestFit="1" customWidth="1"/>
    <col min="11" max="11" width="6.625" style="34" bestFit="1" customWidth="1"/>
    <col min="12" max="12" width="8.50390625" style="34" bestFit="1" customWidth="1"/>
    <col min="13" max="13" width="14.50390625" style="34" bestFit="1" customWidth="1"/>
  </cols>
  <sheetData>
    <row r="1" spans="1:13" s="1" customFormat="1" ht="45" customHeight="1">
      <c r="A1" s="55" t="s">
        <v>1311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48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4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5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4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53" t="s">
        <v>272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9" t="s">
        <v>273</v>
      </c>
      <c r="B6" s="39" t="s">
        <v>274</v>
      </c>
      <c r="C6" s="39" t="s">
        <v>275</v>
      </c>
      <c r="D6" s="39" t="str">
        <f>"1,2851"</f>
        <v>1,2851</v>
      </c>
      <c r="E6" s="39" t="s">
        <v>276</v>
      </c>
      <c r="F6" s="39" t="s">
        <v>277</v>
      </c>
      <c r="G6" s="39" t="s">
        <v>279</v>
      </c>
      <c r="H6" s="39" t="s">
        <v>280</v>
      </c>
      <c r="I6" s="39" t="s">
        <v>281</v>
      </c>
      <c r="J6" s="39" t="s">
        <v>282</v>
      </c>
      <c r="K6" s="39">
        <v>30</v>
      </c>
      <c r="L6" s="39" t="str">
        <f>"38,5530"</f>
        <v>38,5530</v>
      </c>
      <c r="M6" s="39"/>
    </row>
    <row r="7" spans="1:13" ht="12.75">
      <c r="A7" s="41" t="s">
        <v>273</v>
      </c>
      <c r="B7" s="41" t="s">
        <v>284</v>
      </c>
      <c r="C7" s="41" t="s">
        <v>275</v>
      </c>
      <c r="D7" s="41" t="str">
        <f>"1,3108"</f>
        <v>1,3108</v>
      </c>
      <c r="E7" s="41" t="s">
        <v>276</v>
      </c>
      <c r="F7" s="41" t="s">
        <v>277</v>
      </c>
      <c r="G7" s="41" t="s">
        <v>279</v>
      </c>
      <c r="H7" s="41" t="s">
        <v>280</v>
      </c>
      <c r="I7" s="41" t="s">
        <v>281</v>
      </c>
      <c r="J7" s="41" t="s">
        <v>282</v>
      </c>
      <c r="K7" s="41">
        <v>30</v>
      </c>
      <c r="L7" s="41" t="str">
        <f>"39,3241"</f>
        <v>39,3241</v>
      </c>
      <c r="M7" s="41"/>
    </row>
    <row r="9" spans="1:12" ht="15">
      <c r="A9" s="54" t="s">
        <v>285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ht="12.75">
      <c r="A10" s="37" t="s">
        <v>286</v>
      </c>
      <c r="B10" s="37" t="s">
        <v>287</v>
      </c>
      <c r="C10" s="37" t="s">
        <v>288</v>
      </c>
      <c r="D10" s="37" t="str">
        <f>"1,1299"</f>
        <v>1,1299</v>
      </c>
      <c r="E10" s="37" t="s">
        <v>17</v>
      </c>
      <c r="F10" s="37" t="s">
        <v>101</v>
      </c>
      <c r="G10" s="37" t="s">
        <v>181</v>
      </c>
      <c r="H10" s="37" t="s">
        <v>289</v>
      </c>
      <c r="I10" s="38" t="s">
        <v>290</v>
      </c>
      <c r="J10" s="38"/>
      <c r="K10" s="37">
        <v>70</v>
      </c>
      <c r="L10" s="37" t="str">
        <f>"79,0930"</f>
        <v>79,0930</v>
      </c>
      <c r="M10" s="37"/>
    </row>
    <row r="12" spans="1:12" ht="15">
      <c r="A12" s="54" t="s">
        <v>13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37" t="s">
        <v>291</v>
      </c>
      <c r="B13" s="37" t="s">
        <v>292</v>
      </c>
      <c r="C13" s="37" t="s">
        <v>293</v>
      </c>
      <c r="D13" s="37" t="str">
        <f>"0,9889"</f>
        <v>0,9889</v>
      </c>
      <c r="E13" s="37" t="s">
        <v>17</v>
      </c>
      <c r="F13" s="37" t="s">
        <v>180</v>
      </c>
      <c r="G13" s="37" t="s">
        <v>190</v>
      </c>
      <c r="H13" s="37" t="s">
        <v>294</v>
      </c>
      <c r="I13" s="37" t="s">
        <v>47</v>
      </c>
      <c r="J13" s="38" t="s">
        <v>295</v>
      </c>
      <c r="K13" s="37">
        <v>130</v>
      </c>
      <c r="L13" s="37" t="str">
        <f>"128,5570"</f>
        <v>128,5570</v>
      </c>
      <c r="M13" s="37"/>
    </row>
    <row r="15" spans="1:12" ht="15">
      <c r="A15" s="54" t="s">
        <v>285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3" ht="12.75">
      <c r="A16" s="37" t="s">
        <v>296</v>
      </c>
      <c r="B16" s="37" t="s">
        <v>297</v>
      </c>
      <c r="C16" s="37" t="s">
        <v>298</v>
      </c>
      <c r="D16" s="37" t="str">
        <f>"1,1558"</f>
        <v>1,1558</v>
      </c>
      <c r="E16" s="37" t="s">
        <v>17</v>
      </c>
      <c r="F16" s="37" t="s">
        <v>299</v>
      </c>
      <c r="G16" s="38" t="s">
        <v>300</v>
      </c>
      <c r="H16" s="37" t="s">
        <v>189</v>
      </c>
      <c r="I16" s="37" t="s">
        <v>165</v>
      </c>
      <c r="J16" s="38"/>
      <c r="K16" s="37">
        <v>50</v>
      </c>
      <c r="L16" s="37" t="str">
        <f>"57,7900"</f>
        <v>57,7900</v>
      </c>
      <c r="M16" s="37"/>
    </row>
    <row r="18" spans="1:12" ht="15">
      <c r="A18" s="54" t="s">
        <v>13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3" ht="12.75">
      <c r="A19" s="37" t="s">
        <v>301</v>
      </c>
      <c r="B19" s="37" t="s">
        <v>302</v>
      </c>
      <c r="C19" s="37" t="s">
        <v>303</v>
      </c>
      <c r="D19" s="37" t="str">
        <f>"0,8718"</f>
        <v>0,8718</v>
      </c>
      <c r="E19" s="37" t="s">
        <v>17</v>
      </c>
      <c r="F19" s="37" t="s">
        <v>85</v>
      </c>
      <c r="G19" s="37" t="s">
        <v>165</v>
      </c>
      <c r="H19" s="37" t="s">
        <v>166</v>
      </c>
      <c r="I19" s="37" t="s">
        <v>304</v>
      </c>
      <c r="J19" s="38"/>
      <c r="K19" s="37">
        <v>57.5</v>
      </c>
      <c r="L19" s="37" t="str">
        <f>"50,1285"</f>
        <v>50,1285</v>
      </c>
      <c r="M19" s="37"/>
    </row>
    <row r="21" spans="1:12" ht="15">
      <c r="A21" s="54" t="s">
        <v>176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3" ht="12.75">
      <c r="A22" s="37" t="s">
        <v>305</v>
      </c>
      <c r="B22" s="37" t="s">
        <v>306</v>
      </c>
      <c r="C22" s="37" t="s">
        <v>307</v>
      </c>
      <c r="D22" s="37" t="str">
        <f>"0,7581"</f>
        <v>0,7581</v>
      </c>
      <c r="E22" s="37" t="s">
        <v>308</v>
      </c>
      <c r="F22" s="37" t="s">
        <v>308</v>
      </c>
      <c r="G22" s="37" t="s">
        <v>289</v>
      </c>
      <c r="H22" s="37" t="s">
        <v>183</v>
      </c>
      <c r="I22" s="37" t="s">
        <v>24</v>
      </c>
      <c r="J22" s="38"/>
      <c r="K22" s="37">
        <v>100</v>
      </c>
      <c r="L22" s="37" t="str">
        <f>"75,8050"</f>
        <v>75,8050</v>
      </c>
      <c r="M22" s="37"/>
    </row>
    <row r="24" spans="1:12" ht="15">
      <c r="A24" s="54" t="s">
        <v>191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3" ht="12.75">
      <c r="A25" s="39" t="s">
        <v>309</v>
      </c>
      <c r="B25" s="39" t="s">
        <v>310</v>
      </c>
      <c r="C25" s="39" t="s">
        <v>311</v>
      </c>
      <c r="D25" s="39" t="str">
        <f>"0,7322"</f>
        <v>0,7322</v>
      </c>
      <c r="E25" s="39" t="s">
        <v>17</v>
      </c>
      <c r="F25" s="39" t="s">
        <v>85</v>
      </c>
      <c r="G25" s="40" t="s">
        <v>289</v>
      </c>
      <c r="H25" s="39" t="s">
        <v>289</v>
      </c>
      <c r="I25" s="39" t="s">
        <v>290</v>
      </c>
      <c r="J25" s="40"/>
      <c r="K25" s="39">
        <v>75</v>
      </c>
      <c r="L25" s="39" t="str">
        <f>"54,9150"</f>
        <v>54,9150</v>
      </c>
      <c r="M25" s="39"/>
    </row>
    <row r="26" spans="1:13" ht="12.75">
      <c r="A26" s="43" t="s">
        <v>312</v>
      </c>
      <c r="B26" s="43" t="s">
        <v>313</v>
      </c>
      <c r="C26" s="43" t="s">
        <v>314</v>
      </c>
      <c r="D26" s="43" t="str">
        <f>"0,6934"</f>
        <v>0,6934</v>
      </c>
      <c r="E26" s="43" t="s">
        <v>315</v>
      </c>
      <c r="F26" s="43" t="s">
        <v>316</v>
      </c>
      <c r="G26" s="43" t="s">
        <v>317</v>
      </c>
      <c r="H26" s="44" t="s">
        <v>37</v>
      </c>
      <c r="I26" s="44" t="s">
        <v>19</v>
      </c>
      <c r="J26" s="44"/>
      <c r="K26" s="43">
        <v>145</v>
      </c>
      <c r="L26" s="43" t="str">
        <f>"100,5358"</f>
        <v>100,5358</v>
      </c>
      <c r="M26" s="43"/>
    </row>
    <row r="27" spans="1:13" ht="12.75">
      <c r="A27" s="43" t="s">
        <v>318</v>
      </c>
      <c r="B27" s="43" t="s">
        <v>319</v>
      </c>
      <c r="C27" s="43" t="s">
        <v>320</v>
      </c>
      <c r="D27" s="43" t="str">
        <f>"0,7012"</f>
        <v>0,7012</v>
      </c>
      <c r="E27" s="43" t="s">
        <v>17</v>
      </c>
      <c r="F27" s="43" t="s">
        <v>321</v>
      </c>
      <c r="G27" s="43" t="s">
        <v>47</v>
      </c>
      <c r="H27" s="43" t="s">
        <v>69</v>
      </c>
      <c r="I27" s="44" t="s">
        <v>36</v>
      </c>
      <c r="J27" s="44"/>
      <c r="K27" s="43">
        <v>135</v>
      </c>
      <c r="L27" s="43" t="str">
        <f>"94,6553"</f>
        <v>94,6553</v>
      </c>
      <c r="M27" s="43"/>
    </row>
    <row r="28" spans="1:13" ht="12.75">
      <c r="A28" s="41" t="s">
        <v>322</v>
      </c>
      <c r="B28" s="41" t="s">
        <v>323</v>
      </c>
      <c r="C28" s="41" t="s">
        <v>324</v>
      </c>
      <c r="D28" s="41" t="str">
        <f>"0,6983"</f>
        <v>0,6983</v>
      </c>
      <c r="E28" s="41" t="s">
        <v>17</v>
      </c>
      <c r="F28" s="41" t="s">
        <v>101</v>
      </c>
      <c r="G28" s="41" t="s">
        <v>67</v>
      </c>
      <c r="H28" s="42" t="s">
        <v>174</v>
      </c>
      <c r="I28" s="42" t="s">
        <v>174</v>
      </c>
      <c r="J28" s="42"/>
      <c r="K28" s="41">
        <v>110</v>
      </c>
      <c r="L28" s="41" t="str">
        <f>"76,8130"</f>
        <v>76,8130</v>
      </c>
      <c r="M28" s="41"/>
    </row>
    <row r="30" spans="1:12" ht="15">
      <c r="A30" s="54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3" ht="12.75">
      <c r="A31" s="37" t="s">
        <v>325</v>
      </c>
      <c r="B31" s="37" t="s">
        <v>326</v>
      </c>
      <c r="C31" s="37" t="s">
        <v>327</v>
      </c>
      <c r="D31" s="37" t="str">
        <f>"0,6461"</f>
        <v>0,6461</v>
      </c>
      <c r="E31" s="37" t="s">
        <v>17</v>
      </c>
      <c r="F31" s="37" t="s">
        <v>316</v>
      </c>
      <c r="G31" s="38" t="s">
        <v>174</v>
      </c>
      <c r="H31" s="37" t="s">
        <v>68</v>
      </c>
      <c r="I31" s="38" t="s">
        <v>47</v>
      </c>
      <c r="J31" s="38"/>
      <c r="K31" s="37">
        <v>125</v>
      </c>
      <c r="L31" s="37" t="str">
        <f>"80,7687"</f>
        <v>80,7687</v>
      </c>
      <c r="M31" s="37"/>
    </row>
    <row r="33" spans="1:12" ht="15">
      <c r="A33" s="54" t="s">
        <v>52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3" ht="12.75">
      <c r="A34" s="39" t="s">
        <v>328</v>
      </c>
      <c r="B34" s="39" t="s">
        <v>329</v>
      </c>
      <c r="C34" s="39" t="s">
        <v>330</v>
      </c>
      <c r="D34" s="39" t="str">
        <f>"0,6169"</f>
        <v>0,6169</v>
      </c>
      <c r="E34" s="39" t="s">
        <v>17</v>
      </c>
      <c r="F34" s="39" t="s">
        <v>331</v>
      </c>
      <c r="G34" s="39" t="s">
        <v>19</v>
      </c>
      <c r="H34" s="39" t="s">
        <v>222</v>
      </c>
      <c r="I34" s="40" t="s">
        <v>20</v>
      </c>
      <c r="J34" s="40"/>
      <c r="K34" s="39">
        <v>170</v>
      </c>
      <c r="L34" s="39" t="str">
        <f>"104,8645"</f>
        <v>104,8645</v>
      </c>
      <c r="M34" s="39"/>
    </row>
    <row r="35" spans="1:13" ht="12.75">
      <c r="A35" s="43" t="s">
        <v>332</v>
      </c>
      <c r="B35" s="43" t="s">
        <v>333</v>
      </c>
      <c r="C35" s="43" t="s">
        <v>334</v>
      </c>
      <c r="D35" s="43" t="str">
        <f>"0,6119"</f>
        <v>0,6119</v>
      </c>
      <c r="E35" s="43" t="s">
        <v>17</v>
      </c>
      <c r="F35" s="43" t="s">
        <v>101</v>
      </c>
      <c r="G35" s="43" t="s">
        <v>22</v>
      </c>
      <c r="H35" s="44" t="s">
        <v>264</v>
      </c>
      <c r="I35" s="44" t="s">
        <v>264</v>
      </c>
      <c r="J35" s="44"/>
      <c r="K35" s="43">
        <v>200</v>
      </c>
      <c r="L35" s="43" t="str">
        <f>"122,3700"</f>
        <v>122,3700</v>
      </c>
      <c r="M35" s="43"/>
    </row>
    <row r="36" spans="1:13" ht="12.75">
      <c r="A36" s="43" t="s">
        <v>335</v>
      </c>
      <c r="B36" s="43" t="s">
        <v>336</v>
      </c>
      <c r="C36" s="43" t="s">
        <v>337</v>
      </c>
      <c r="D36" s="43" t="str">
        <f>"0,6246"</f>
        <v>0,6246</v>
      </c>
      <c r="E36" s="43" t="s">
        <v>17</v>
      </c>
      <c r="F36" s="43" t="s">
        <v>338</v>
      </c>
      <c r="G36" s="43" t="s">
        <v>222</v>
      </c>
      <c r="H36" s="43" t="s">
        <v>20</v>
      </c>
      <c r="I36" s="44" t="s">
        <v>339</v>
      </c>
      <c r="J36" s="44"/>
      <c r="K36" s="43">
        <v>180</v>
      </c>
      <c r="L36" s="43" t="str">
        <f>"112,4342"</f>
        <v>112,4342</v>
      </c>
      <c r="M36" s="43"/>
    </row>
    <row r="37" spans="1:13" ht="12.75">
      <c r="A37" s="41" t="s">
        <v>340</v>
      </c>
      <c r="B37" s="41" t="s">
        <v>341</v>
      </c>
      <c r="C37" s="41" t="s">
        <v>342</v>
      </c>
      <c r="D37" s="41" t="str">
        <f>"0,7512"</f>
        <v>0,7512</v>
      </c>
      <c r="E37" s="41" t="s">
        <v>85</v>
      </c>
      <c r="F37" s="41" t="s">
        <v>85</v>
      </c>
      <c r="G37" s="41" t="s">
        <v>47</v>
      </c>
      <c r="H37" s="41" t="s">
        <v>69</v>
      </c>
      <c r="I37" s="42" t="s">
        <v>36</v>
      </c>
      <c r="J37" s="42"/>
      <c r="K37" s="41">
        <v>135</v>
      </c>
      <c r="L37" s="41" t="str">
        <f>"101,4105"</f>
        <v>101,4105</v>
      </c>
      <c r="M37" s="41"/>
    </row>
    <row r="39" spans="1:12" ht="15">
      <c r="A39" s="54" t="s">
        <v>76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3" ht="12.75">
      <c r="A40" s="39" t="s">
        <v>343</v>
      </c>
      <c r="B40" s="39" t="s">
        <v>344</v>
      </c>
      <c r="C40" s="39" t="s">
        <v>345</v>
      </c>
      <c r="D40" s="39" t="str">
        <f>"0,5871"</f>
        <v>0,5871</v>
      </c>
      <c r="E40" s="39" t="s">
        <v>17</v>
      </c>
      <c r="F40" s="39" t="s">
        <v>101</v>
      </c>
      <c r="G40" s="39" t="s">
        <v>290</v>
      </c>
      <c r="H40" s="40" t="s">
        <v>183</v>
      </c>
      <c r="I40" s="39" t="s">
        <v>183</v>
      </c>
      <c r="J40" s="40"/>
      <c r="K40" s="39">
        <v>80</v>
      </c>
      <c r="L40" s="39" t="str">
        <f>"46,9720"</f>
        <v>46,9720</v>
      </c>
      <c r="M40" s="39"/>
    </row>
    <row r="41" spans="1:13" ht="12.75">
      <c r="A41" s="43" t="s">
        <v>346</v>
      </c>
      <c r="B41" s="43" t="s">
        <v>347</v>
      </c>
      <c r="C41" s="43" t="s">
        <v>79</v>
      </c>
      <c r="D41" s="43" t="str">
        <f>"0,5846"</f>
        <v>0,5846</v>
      </c>
      <c r="E41" s="43" t="s">
        <v>17</v>
      </c>
      <c r="F41" s="43" t="s">
        <v>348</v>
      </c>
      <c r="G41" s="43" t="s">
        <v>66</v>
      </c>
      <c r="H41" s="43" t="s">
        <v>22</v>
      </c>
      <c r="I41" s="44" t="s">
        <v>264</v>
      </c>
      <c r="J41" s="44"/>
      <c r="K41" s="43">
        <v>200</v>
      </c>
      <c r="L41" s="43" t="str">
        <f>"116,9100"</f>
        <v>116,9100</v>
      </c>
      <c r="M41" s="43"/>
    </row>
    <row r="42" spans="1:13" ht="12.75">
      <c r="A42" s="43" t="s">
        <v>349</v>
      </c>
      <c r="B42" s="43" t="s">
        <v>350</v>
      </c>
      <c r="C42" s="43" t="s">
        <v>351</v>
      </c>
      <c r="D42" s="43" t="str">
        <f>"0,5848"</f>
        <v>0,5848</v>
      </c>
      <c r="E42" s="43" t="s">
        <v>17</v>
      </c>
      <c r="F42" s="43" t="s">
        <v>352</v>
      </c>
      <c r="G42" s="44" t="s">
        <v>222</v>
      </c>
      <c r="H42" s="43" t="s">
        <v>222</v>
      </c>
      <c r="I42" s="44" t="s">
        <v>21</v>
      </c>
      <c r="J42" s="44"/>
      <c r="K42" s="43">
        <v>170</v>
      </c>
      <c r="L42" s="43" t="str">
        <f>"99,4160"</f>
        <v>99,4160</v>
      </c>
      <c r="M42" s="43"/>
    </row>
    <row r="43" spans="1:13" ht="12.75">
      <c r="A43" s="43" t="s">
        <v>353</v>
      </c>
      <c r="B43" s="43" t="s">
        <v>354</v>
      </c>
      <c r="C43" s="43" t="s">
        <v>355</v>
      </c>
      <c r="D43" s="43" t="str">
        <f>"0,5870"</f>
        <v>0,5870</v>
      </c>
      <c r="E43" s="43" t="s">
        <v>17</v>
      </c>
      <c r="F43" s="43" t="s">
        <v>85</v>
      </c>
      <c r="G43" s="44" t="s">
        <v>70</v>
      </c>
      <c r="H43" s="44"/>
      <c r="I43" s="44"/>
      <c r="J43" s="44"/>
      <c r="K43" s="43">
        <v>0</v>
      </c>
      <c r="L43" s="43" t="str">
        <f>"0,0000"</f>
        <v>0,0000</v>
      </c>
      <c r="M43" s="43"/>
    </row>
    <row r="44" spans="1:13" ht="12.75">
      <c r="A44" s="43" t="s">
        <v>356</v>
      </c>
      <c r="B44" s="43" t="s">
        <v>357</v>
      </c>
      <c r="C44" s="43" t="s">
        <v>358</v>
      </c>
      <c r="D44" s="43" t="str">
        <f>"0,5957"</f>
        <v>0,5957</v>
      </c>
      <c r="E44" s="43" t="s">
        <v>17</v>
      </c>
      <c r="F44" s="43" t="s">
        <v>101</v>
      </c>
      <c r="G44" s="43" t="s">
        <v>20</v>
      </c>
      <c r="H44" s="43" t="s">
        <v>66</v>
      </c>
      <c r="I44" s="43" t="s">
        <v>27</v>
      </c>
      <c r="J44" s="44"/>
      <c r="K44" s="43">
        <v>195</v>
      </c>
      <c r="L44" s="43" t="str">
        <f>"116,1675"</f>
        <v>116,1675</v>
      </c>
      <c r="M44" s="43"/>
    </row>
    <row r="45" spans="1:13" ht="12.75">
      <c r="A45" s="43" t="s">
        <v>359</v>
      </c>
      <c r="B45" s="43" t="s">
        <v>360</v>
      </c>
      <c r="C45" s="43" t="s">
        <v>361</v>
      </c>
      <c r="D45" s="43" t="str">
        <f>"0,6286"</f>
        <v>0,6286</v>
      </c>
      <c r="E45" s="43" t="s">
        <v>17</v>
      </c>
      <c r="F45" s="43" t="s">
        <v>101</v>
      </c>
      <c r="G45" s="43" t="s">
        <v>36</v>
      </c>
      <c r="H45" s="44" t="s">
        <v>195</v>
      </c>
      <c r="I45" s="44" t="s">
        <v>195</v>
      </c>
      <c r="J45" s="44"/>
      <c r="K45" s="43">
        <v>140</v>
      </c>
      <c r="L45" s="43" t="str">
        <f>"88,0070"</f>
        <v>88,0070</v>
      </c>
      <c r="M45" s="43"/>
    </row>
    <row r="46" spans="1:13" ht="12.75">
      <c r="A46" s="43" t="s">
        <v>362</v>
      </c>
      <c r="B46" s="43" t="s">
        <v>363</v>
      </c>
      <c r="C46" s="43" t="s">
        <v>364</v>
      </c>
      <c r="D46" s="43" t="str">
        <f>"0,7110"</f>
        <v>0,7110</v>
      </c>
      <c r="E46" s="43" t="s">
        <v>17</v>
      </c>
      <c r="F46" s="43" t="s">
        <v>365</v>
      </c>
      <c r="G46" s="43" t="s">
        <v>20</v>
      </c>
      <c r="H46" s="43" t="s">
        <v>27</v>
      </c>
      <c r="I46" s="44" t="s">
        <v>264</v>
      </c>
      <c r="J46" s="44"/>
      <c r="K46" s="43">
        <v>195</v>
      </c>
      <c r="L46" s="43" t="str">
        <f>"138,6376"</f>
        <v>138,6376</v>
      </c>
      <c r="M46" s="43"/>
    </row>
    <row r="47" spans="1:13" ht="12.75">
      <c r="A47" s="41" t="s">
        <v>366</v>
      </c>
      <c r="B47" s="41" t="s">
        <v>367</v>
      </c>
      <c r="C47" s="41" t="s">
        <v>368</v>
      </c>
      <c r="D47" s="41" t="str">
        <f>"0,7594"</f>
        <v>0,7594</v>
      </c>
      <c r="E47" s="41" t="s">
        <v>85</v>
      </c>
      <c r="F47" s="41" t="s">
        <v>101</v>
      </c>
      <c r="G47" s="41" t="s">
        <v>20</v>
      </c>
      <c r="H47" s="41" t="s">
        <v>21</v>
      </c>
      <c r="I47" s="41" t="s">
        <v>66</v>
      </c>
      <c r="J47" s="42"/>
      <c r="K47" s="41">
        <v>190</v>
      </c>
      <c r="L47" s="41" t="str">
        <f>"144,2918"</f>
        <v>144,2918</v>
      </c>
      <c r="M47" s="41"/>
    </row>
    <row r="49" spans="1:12" ht="15">
      <c r="A49" s="54" t="s">
        <v>88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3" ht="12.75">
      <c r="A50" s="39" t="s">
        <v>369</v>
      </c>
      <c r="B50" s="39" t="s">
        <v>370</v>
      </c>
      <c r="C50" s="39" t="s">
        <v>230</v>
      </c>
      <c r="D50" s="39" t="str">
        <f>"0,5658"</f>
        <v>0,5658</v>
      </c>
      <c r="E50" s="39" t="s">
        <v>85</v>
      </c>
      <c r="F50" s="39" t="s">
        <v>85</v>
      </c>
      <c r="G50" s="39" t="s">
        <v>34</v>
      </c>
      <c r="H50" s="39" t="s">
        <v>221</v>
      </c>
      <c r="I50" s="40" t="s">
        <v>35</v>
      </c>
      <c r="J50" s="40"/>
      <c r="K50" s="39">
        <v>240</v>
      </c>
      <c r="L50" s="39" t="str">
        <f>"135,7920"</f>
        <v>135,7920</v>
      </c>
      <c r="M50" s="39"/>
    </row>
    <row r="51" spans="1:13" ht="12.75">
      <c r="A51" s="43" t="s">
        <v>371</v>
      </c>
      <c r="B51" s="43" t="s">
        <v>372</v>
      </c>
      <c r="C51" s="43" t="s">
        <v>373</v>
      </c>
      <c r="D51" s="43" t="str">
        <f>"0,5640"</f>
        <v>0,5640</v>
      </c>
      <c r="E51" s="43" t="s">
        <v>374</v>
      </c>
      <c r="F51" s="43" t="s">
        <v>375</v>
      </c>
      <c r="G51" s="43" t="s">
        <v>264</v>
      </c>
      <c r="H51" s="43" t="s">
        <v>70</v>
      </c>
      <c r="I51" s="44" t="s">
        <v>39</v>
      </c>
      <c r="J51" s="44"/>
      <c r="K51" s="43">
        <v>210</v>
      </c>
      <c r="L51" s="43" t="str">
        <f>"118,4295"</f>
        <v>118,4295</v>
      </c>
      <c r="M51" s="43"/>
    </row>
    <row r="52" spans="1:13" ht="12.75">
      <c r="A52" s="43" t="s">
        <v>376</v>
      </c>
      <c r="B52" s="43" t="s">
        <v>377</v>
      </c>
      <c r="C52" s="43" t="s">
        <v>378</v>
      </c>
      <c r="D52" s="43" t="str">
        <f>"0,5652"</f>
        <v>0,5652</v>
      </c>
      <c r="E52" s="43" t="s">
        <v>17</v>
      </c>
      <c r="F52" s="43" t="s">
        <v>379</v>
      </c>
      <c r="G52" s="43" t="s">
        <v>66</v>
      </c>
      <c r="H52" s="43" t="s">
        <v>27</v>
      </c>
      <c r="I52" s="43" t="s">
        <v>199</v>
      </c>
      <c r="J52" s="44"/>
      <c r="K52" s="43">
        <v>197.5</v>
      </c>
      <c r="L52" s="43" t="str">
        <f>"111,6270"</f>
        <v>111,6270</v>
      </c>
      <c r="M52" s="43"/>
    </row>
    <row r="53" spans="1:13" ht="12.75">
      <c r="A53" s="43" t="s">
        <v>380</v>
      </c>
      <c r="B53" s="43" t="s">
        <v>381</v>
      </c>
      <c r="C53" s="43" t="s">
        <v>382</v>
      </c>
      <c r="D53" s="43" t="str">
        <f>"0,5718"</f>
        <v>0,5718</v>
      </c>
      <c r="E53" s="43" t="s">
        <v>17</v>
      </c>
      <c r="F53" s="43" t="s">
        <v>383</v>
      </c>
      <c r="G53" s="44" t="s">
        <v>222</v>
      </c>
      <c r="H53" s="44" t="s">
        <v>222</v>
      </c>
      <c r="I53" s="44"/>
      <c r="J53" s="44"/>
      <c r="K53" s="43">
        <v>0</v>
      </c>
      <c r="L53" s="43" t="str">
        <f>"0,0000"</f>
        <v>0,0000</v>
      </c>
      <c r="M53" s="43"/>
    </row>
    <row r="54" spans="1:13" ht="12.75">
      <c r="A54" s="43" t="s">
        <v>384</v>
      </c>
      <c r="B54" s="43" t="s">
        <v>385</v>
      </c>
      <c r="C54" s="43" t="s">
        <v>386</v>
      </c>
      <c r="D54" s="43" t="str">
        <f>"0,5659"</f>
        <v>0,5659</v>
      </c>
      <c r="E54" s="43" t="s">
        <v>17</v>
      </c>
      <c r="F54" s="43" t="s">
        <v>101</v>
      </c>
      <c r="G54" s="44" t="s">
        <v>67</v>
      </c>
      <c r="H54" s="44"/>
      <c r="I54" s="44"/>
      <c r="J54" s="44"/>
      <c r="K54" s="43">
        <v>0</v>
      </c>
      <c r="L54" s="43" t="str">
        <f>"0,0000"</f>
        <v>0,0000</v>
      </c>
      <c r="M54" s="43"/>
    </row>
    <row r="55" spans="1:13" ht="12.75">
      <c r="A55" s="43" t="s">
        <v>387</v>
      </c>
      <c r="B55" s="43" t="s">
        <v>388</v>
      </c>
      <c r="C55" s="43" t="s">
        <v>389</v>
      </c>
      <c r="D55" s="43" t="str">
        <f>"0,5766"</f>
        <v>0,5766</v>
      </c>
      <c r="E55" s="43" t="s">
        <v>17</v>
      </c>
      <c r="F55" s="43" t="s">
        <v>101</v>
      </c>
      <c r="G55" s="43" t="s">
        <v>27</v>
      </c>
      <c r="H55" s="44" t="s">
        <v>22</v>
      </c>
      <c r="I55" s="44" t="s">
        <v>22</v>
      </c>
      <c r="J55" s="44"/>
      <c r="K55" s="43">
        <v>195</v>
      </c>
      <c r="L55" s="43" t="str">
        <f>"112,4382"</f>
        <v>112,4382</v>
      </c>
      <c r="M55" s="43"/>
    </row>
    <row r="56" spans="1:13" ht="12.75">
      <c r="A56" s="43" t="s">
        <v>390</v>
      </c>
      <c r="B56" s="43" t="s">
        <v>391</v>
      </c>
      <c r="C56" s="43" t="s">
        <v>392</v>
      </c>
      <c r="D56" s="43" t="str">
        <f>"0,5784"</f>
        <v>0,5784</v>
      </c>
      <c r="E56" s="43" t="s">
        <v>17</v>
      </c>
      <c r="F56" s="43" t="s">
        <v>316</v>
      </c>
      <c r="G56" s="43" t="s">
        <v>212</v>
      </c>
      <c r="H56" s="43" t="s">
        <v>104</v>
      </c>
      <c r="I56" s="43" t="s">
        <v>20</v>
      </c>
      <c r="J56" s="44"/>
      <c r="K56" s="43">
        <v>180</v>
      </c>
      <c r="L56" s="43" t="str">
        <f>"104,1196"</f>
        <v>104,1196</v>
      </c>
      <c r="M56" s="43"/>
    </row>
    <row r="57" spans="1:13" ht="12.75">
      <c r="A57" s="43" t="s">
        <v>393</v>
      </c>
      <c r="B57" s="43" t="s">
        <v>394</v>
      </c>
      <c r="C57" s="43" t="s">
        <v>395</v>
      </c>
      <c r="D57" s="43" t="str">
        <f>"0,5827"</f>
        <v>0,5827</v>
      </c>
      <c r="E57" s="43" t="s">
        <v>17</v>
      </c>
      <c r="F57" s="43" t="s">
        <v>396</v>
      </c>
      <c r="G57" s="43" t="s">
        <v>317</v>
      </c>
      <c r="H57" s="43" t="s">
        <v>38</v>
      </c>
      <c r="I57" s="44" t="s">
        <v>104</v>
      </c>
      <c r="J57" s="44"/>
      <c r="K57" s="43">
        <v>162.5</v>
      </c>
      <c r="L57" s="43" t="str">
        <f>"94,6847"</f>
        <v>94,6847</v>
      </c>
      <c r="M57" s="43"/>
    </row>
    <row r="58" spans="1:13" ht="12.75">
      <c r="A58" s="43" t="s">
        <v>397</v>
      </c>
      <c r="B58" s="43" t="s">
        <v>398</v>
      </c>
      <c r="C58" s="43" t="s">
        <v>399</v>
      </c>
      <c r="D58" s="43" t="str">
        <f>"0,6129"</f>
        <v>0,6129</v>
      </c>
      <c r="E58" s="43" t="s">
        <v>308</v>
      </c>
      <c r="F58" s="43" t="s">
        <v>308</v>
      </c>
      <c r="G58" s="43" t="s">
        <v>36</v>
      </c>
      <c r="H58" s="43" t="s">
        <v>195</v>
      </c>
      <c r="I58" s="43" t="s">
        <v>49</v>
      </c>
      <c r="J58" s="44"/>
      <c r="K58" s="43">
        <v>150</v>
      </c>
      <c r="L58" s="43" t="str">
        <f>"91,9348"</f>
        <v>91,9348</v>
      </c>
      <c r="M58" s="43"/>
    </row>
    <row r="59" spans="1:13" ht="12.75">
      <c r="A59" s="41" t="s">
        <v>400</v>
      </c>
      <c r="B59" s="41" t="s">
        <v>401</v>
      </c>
      <c r="C59" s="41" t="s">
        <v>402</v>
      </c>
      <c r="D59" s="41" t="str">
        <f>"0,5989"</f>
        <v>0,5989</v>
      </c>
      <c r="E59" s="41" t="s">
        <v>17</v>
      </c>
      <c r="F59" s="41" t="s">
        <v>101</v>
      </c>
      <c r="G59" s="41" t="s">
        <v>67</v>
      </c>
      <c r="H59" s="42" t="s">
        <v>174</v>
      </c>
      <c r="I59" s="42" t="s">
        <v>174</v>
      </c>
      <c r="J59" s="42"/>
      <c r="K59" s="41">
        <v>110</v>
      </c>
      <c r="L59" s="41" t="str">
        <f>"65,8758"</f>
        <v>65,8758</v>
      </c>
      <c r="M59" s="41"/>
    </row>
    <row r="61" spans="1:12" ht="15">
      <c r="A61" s="54" t="s">
        <v>97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3" ht="12.75">
      <c r="A62" s="39" t="s">
        <v>403</v>
      </c>
      <c r="B62" s="39" t="s">
        <v>404</v>
      </c>
      <c r="C62" s="39" t="s">
        <v>405</v>
      </c>
      <c r="D62" s="39" t="str">
        <f>"0,5611"</f>
        <v>0,5611</v>
      </c>
      <c r="E62" s="39" t="s">
        <v>17</v>
      </c>
      <c r="F62" s="39" t="s">
        <v>406</v>
      </c>
      <c r="G62" s="39" t="s">
        <v>20</v>
      </c>
      <c r="H62" s="39" t="s">
        <v>66</v>
      </c>
      <c r="I62" s="40" t="s">
        <v>22</v>
      </c>
      <c r="J62" s="40"/>
      <c r="K62" s="39">
        <v>190</v>
      </c>
      <c r="L62" s="39" t="str">
        <f>"106,6090"</f>
        <v>106,6090</v>
      </c>
      <c r="M62" s="39"/>
    </row>
    <row r="63" spans="1:13" ht="12.75">
      <c r="A63" s="43" t="s">
        <v>403</v>
      </c>
      <c r="B63" s="43" t="s">
        <v>407</v>
      </c>
      <c r="C63" s="43" t="s">
        <v>405</v>
      </c>
      <c r="D63" s="43" t="str">
        <f>"0,5993"</f>
        <v>0,5993</v>
      </c>
      <c r="E63" s="43" t="s">
        <v>17</v>
      </c>
      <c r="F63" s="43" t="s">
        <v>406</v>
      </c>
      <c r="G63" s="43" t="s">
        <v>20</v>
      </c>
      <c r="H63" s="44"/>
      <c r="I63" s="44"/>
      <c r="J63" s="44"/>
      <c r="K63" s="43">
        <v>180</v>
      </c>
      <c r="L63" s="43" t="str">
        <f>"107,8659"</f>
        <v>107,8659</v>
      </c>
      <c r="M63" s="43"/>
    </row>
    <row r="64" spans="1:13" ht="12.75">
      <c r="A64" s="43" t="s">
        <v>408</v>
      </c>
      <c r="B64" s="43" t="s">
        <v>409</v>
      </c>
      <c r="C64" s="43" t="s">
        <v>410</v>
      </c>
      <c r="D64" s="43" t="str">
        <f>"0,5787"</f>
        <v>0,5787</v>
      </c>
      <c r="E64" s="43" t="s">
        <v>17</v>
      </c>
      <c r="F64" s="43" t="s">
        <v>411</v>
      </c>
      <c r="G64" s="43" t="s">
        <v>49</v>
      </c>
      <c r="H64" s="44"/>
      <c r="I64" s="44"/>
      <c r="J64" s="44"/>
      <c r="K64" s="43">
        <v>150</v>
      </c>
      <c r="L64" s="43" t="str">
        <f>"86,8080"</f>
        <v>86,8080</v>
      </c>
      <c r="M64" s="43"/>
    </row>
    <row r="65" spans="1:13" ht="12.75">
      <c r="A65" s="41" t="s">
        <v>412</v>
      </c>
      <c r="B65" s="41" t="s">
        <v>413</v>
      </c>
      <c r="C65" s="41" t="s">
        <v>414</v>
      </c>
      <c r="D65" s="41" t="str">
        <f>"0,7497"</f>
        <v>0,7497</v>
      </c>
      <c r="E65" s="41" t="s">
        <v>85</v>
      </c>
      <c r="F65" s="41" t="s">
        <v>415</v>
      </c>
      <c r="G65" s="41" t="s">
        <v>37</v>
      </c>
      <c r="H65" s="41" t="s">
        <v>19</v>
      </c>
      <c r="I65" s="42" t="s">
        <v>212</v>
      </c>
      <c r="J65" s="42"/>
      <c r="K65" s="41">
        <v>160</v>
      </c>
      <c r="L65" s="41" t="str">
        <f>"119,9567"</f>
        <v>119,9567</v>
      </c>
      <c r="M65" s="41" t="s">
        <v>416</v>
      </c>
    </row>
    <row r="67" spans="1:12" ht="15">
      <c r="A67" s="54" t="s">
        <v>107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3" ht="12.75">
      <c r="A68" s="37" t="s">
        <v>417</v>
      </c>
      <c r="B68" s="37" t="s">
        <v>418</v>
      </c>
      <c r="C68" s="37" t="s">
        <v>419</v>
      </c>
      <c r="D68" s="37" t="str">
        <f>"0,5706"</f>
        <v>0,5706</v>
      </c>
      <c r="E68" s="37" t="s">
        <v>17</v>
      </c>
      <c r="F68" s="37" t="s">
        <v>420</v>
      </c>
      <c r="G68" s="37" t="s">
        <v>22</v>
      </c>
      <c r="H68" s="37" t="s">
        <v>70</v>
      </c>
      <c r="I68" s="38" t="s">
        <v>39</v>
      </c>
      <c r="J68" s="38"/>
      <c r="K68" s="37">
        <v>210</v>
      </c>
      <c r="L68" s="37" t="str">
        <f>"119,8187"</f>
        <v>119,8187</v>
      </c>
      <c r="M68" s="37"/>
    </row>
    <row r="70" ht="15">
      <c r="E70" s="35" t="s">
        <v>113</v>
      </c>
    </row>
    <row r="71" ht="15">
      <c r="E71" s="35" t="s">
        <v>114</v>
      </c>
    </row>
    <row r="72" ht="15">
      <c r="E72" s="35" t="s">
        <v>115</v>
      </c>
    </row>
    <row r="73" ht="12.75">
      <c r="E73" s="34" t="s">
        <v>116</v>
      </c>
    </row>
    <row r="74" ht="12.75">
      <c r="E74" s="34" t="s">
        <v>117</v>
      </c>
    </row>
    <row r="75" ht="12.75">
      <c r="E75" s="34" t="s">
        <v>118</v>
      </c>
    </row>
    <row r="78" spans="1:2" ht="17.25">
      <c r="A78" s="36" t="s">
        <v>119</v>
      </c>
      <c r="B78" s="36"/>
    </row>
    <row r="79" spans="1:2" ht="15">
      <c r="A79" s="45" t="s">
        <v>231</v>
      </c>
      <c r="B79" s="45"/>
    </row>
    <row r="80" spans="1:2" ht="14.25">
      <c r="A80" s="47" t="s">
        <v>132</v>
      </c>
      <c r="B80" s="48"/>
    </row>
    <row r="81" spans="1:5" ht="13.5">
      <c r="A81" s="49" t="s">
        <v>0</v>
      </c>
      <c r="B81" s="49" t="s">
        <v>122</v>
      </c>
      <c r="C81" s="49" t="s">
        <v>123</v>
      </c>
      <c r="D81" s="49" t="s">
        <v>7</v>
      </c>
      <c r="E81" s="49" t="s">
        <v>124</v>
      </c>
    </row>
    <row r="82" spans="1:5" ht="12.75">
      <c r="A82" s="46" t="s">
        <v>291</v>
      </c>
      <c r="B82" s="34" t="s">
        <v>132</v>
      </c>
      <c r="C82" s="34" t="s">
        <v>129</v>
      </c>
      <c r="D82" s="34" t="s">
        <v>47</v>
      </c>
      <c r="E82" s="50" t="s">
        <v>421</v>
      </c>
    </row>
    <row r="83" spans="1:5" ht="12.75">
      <c r="A83" s="46" t="s">
        <v>286</v>
      </c>
      <c r="B83" s="34" t="s">
        <v>132</v>
      </c>
      <c r="C83" s="34" t="s">
        <v>422</v>
      </c>
      <c r="D83" s="34" t="s">
        <v>289</v>
      </c>
      <c r="E83" s="50" t="s">
        <v>423</v>
      </c>
    </row>
    <row r="84" spans="1:5" ht="12.75">
      <c r="A84" s="46" t="s">
        <v>273</v>
      </c>
      <c r="B84" s="34" t="s">
        <v>132</v>
      </c>
      <c r="C84" s="34" t="s">
        <v>424</v>
      </c>
      <c r="D84" s="34" t="s">
        <v>281</v>
      </c>
      <c r="E84" s="50" t="s">
        <v>425</v>
      </c>
    </row>
    <row r="86" spans="1:2" ht="14.25">
      <c r="A86" s="47" t="s">
        <v>152</v>
      </c>
      <c r="B86" s="48"/>
    </row>
    <row r="87" spans="1:5" ht="13.5">
      <c r="A87" s="49" t="s">
        <v>0</v>
      </c>
      <c r="B87" s="49" t="s">
        <v>122</v>
      </c>
      <c r="C87" s="49" t="s">
        <v>123</v>
      </c>
      <c r="D87" s="49" t="s">
        <v>7</v>
      </c>
      <c r="E87" s="49" t="s">
        <v>124</v>
      </c>
    </row>
    <row r="88" spans="1:5" ht="12.75">
      <c r="A88" s="46" t="s">
        <v>273</v>
      </c>
      <c r="B88" s="34" t="s">
        <v>153</v>
      </c>
      <c r="C88" s="34" t="s">
        <v>424</v>
      </c>
      <c r="D88" s="34" t="s">
        <v>281</v>
      </c>
      <c r="E88" s="50" t="s">
        <v>426</v>
      </c>
    </row>
    <row r="91" spans="1:2" ht="15">
      <c r="A91" s="45" t="s">
        <v>120</v>
      </c>
      <c r="B91" s="45"/>
    </row>
    <row r="92" spans="1:2" ht="14.25">
      <c r="A92" s="47" t="s">
        <v>427</v>
      </c>
      <c r="B92" s="48"/>
    </row>
    <row r="93" spans="1:5" ht="13.5">
      <c r="A93" s="49" t="s">
        <v>0</v>
      </c>
      <c r="B93" s="49" t="s">
        <v>122</v>
      </c>
      <c r="C93" s="49" t="s">
        <v>123</v>
      </c>
      <c r="D93" s="49" t="s">
        <v>7</v>
      </c>
      <c r="E93" s="49" t="s">
        <v>124</v>
      </c>
    </row>
    <row r="94" spans="1:5" ht="12.75">
      <c r="A94" s="46" t="s">
        <v>296</v>
      </c>
      <c r="B94" s="34" t="s">
        <v>428</v>
      </c>
      <c r="C94" s="34" t="s">
        <v>422</v>
      </c>
      <c r="D94" s="34" t="s">
        <v>165</v>
      </c>
      <c r="E94" s="50" t="s">
        <v>429</v>
      </c>
    </row>
    <row r="95" spans="1:5" ht="12.75">
      <c r="A95" s="46" t="s">
        <v>309</v>
      </c>
      <c r="B95" s="34" t="s">
        <v>428</v>
      </c>
      <c r="C95" s="34" t="s">
        <v>235</v>
      </c>
      <c r="D95" s="34" t="s">
        <v>290</v>
      </c>
      <c r="E95" s="50" t="s">
        <v>430</v>
      </c>
    </row>
    <row r="96" spans="1:5" ht="12.75">
      <c r="A96" s="46" t="s">
        <v>301</v>
      </c>
      <c r="B96" s="34" t="s">
        <v>428</v>
      </c>
      <c r="C96" s="34" t="s">
        <v>129</v>
      </c>
      <c r="D96" s="34" t="s">
        <v>304</v>
      </c>
      <c r="E96" s="50" t="s">
        <v>431</v>
      </c>
    </row>
    <row r="97" spans="1:5" ht="12.75">
      <c r="A97" s="46" t="s">
        <v>343</v>
      </c>
      <c r="B97" s="34" t="s">
        <v>428</v>
      </c>
      <c r="C97" s="34" t="s">
        <v>149</v>
      </c>
      <c r="D97" s="34" t="s">
        <v>183</v>
      </c>
      <c r="E97" s="50" t="s">
        <v>432</v>
      </c>
    </row>
    <row r="99" spans="1:2" ht="14.25">
      <c r="A99" s="47" t="s">
        <v>121</v>
      </c>
      <c r="B99" s="48"/>
    </row>
    <row r="100" spans="1:5" ht="13.5">
      <c r="A100" s="49" t="s">
        <v>0</v>
      </c>
      <c r="B100" s="49" t="s">
        <v>122</v>
      </c>
      <c r="C100" s="49" t="s">
        <v>123</v>
      </c>
      <c r="D100" s="49" t="s">
        <v>7</v>
      </c>
      <c r="E100" s="49" t="s">
        <v>124</v>
      </c>
    </row>
    <row r="101" spans="1:5" ht="12.75">
      <c r="A101" s="46" t="s">
        <v>328</v>
      </c>
      <c r="B101" s="34" t="s">
        <v>125</v>
      </c>
      <c r="C101" s="34" t="s">
        <v>126</v>
      </c>
      <c r="D101" s="34" t="s">
        <v>222</v>
      </c>
      <c r="E101" s="50" t="s">
        <v>433</v>
      </c>
    </row>
    <row r="102" spans="1:5" ht="12.75">
      <c r="A102" s="46" t="s">
        <v>305</v>
      </c>
      <c r="B102" s="34" t="s">
        <v>125</v>
      </c>
      <c r="C102" s="34" t="s">
        <v>232</v>
      </c>
      <c r="D102" s="34" t="s">
        <v>24</v>
      </c>
      <c r="E102" s="50" t="s">
        <v>434</v>
      </c>
    </row>
    <row r="104" spans="1:2" ht="14.25">
      <c r="A104" s="47" t="s">
        <v>132</v>
      </c>
      <c r="B104" s="48"/>
    </row>
    <row r="105" spans="1:5" ht="13.5">
      <c r="A105" s="49" t="s">
        <v>0</v>
      </c>
      <c r="B105" s="49" t="s">
        <v>122</v>
      </c>
      <c r="C105" s="49" t="s">
        <v>123</v>
      </c>
      <c r="D105" s="49" t="s">
        <v>7</v>
      </c>
      <c r="E105" s="49" t="s">
        <v>124</v>
      </c>
    </row>
    <row r="106" spans="1:5" ht="12.75">
      <c r="A106" s="46" t="s">
        <v>369</v>
      </c>
      <c r="B106" s="34" t="s">
        <v>132</v>
      </c>
      <c r="C106" s="34" t="s">
        <v>133</v>
      </c>
      <c r="D106" s="34" t="s">
        <v>221</v>
      </c>
      <c r="E106" s="50" t="s">
        <v>435</v>
      </c>
    </row>
    <row r="107" spans="1:5" ht="12.75">
      <c r="A107" s="46" t="s">
        <v>332</v>
      </c>
      <c r="B107" s="34" t="s">
        <v>132</v>
      </c>
      <c r="C107" s="34" t="s">
        <v>126</v>
      </c>
      <c r="D107" s="34" t="s">
        <v>22</v>
      </c>
      <c r="E107" s="50" t="s">
        <v>436</v>
      </c>
    </row>
    <row r="108" spans="1:5" ht="12.75">
      <c r="A108" s="46" t="s">
        <v>371</v>
      </c>
      <c r="B108" s="34" t="s">
        <v>132</v>
      </c>
      <c r="C108" s="34" t="s">
        <v>133</v>
      </c>
      <c r="D108" s="34" t="s">
        <v>70</v>
      </c>
      <c r="E108" s="50" t="s">
        <v>437</v>
      </c>
    </row>
    <row r="109" spans="1:5" ht="12.75">
      <c r="A109" s="46" t="s">
        <v>346</v>
      </c>
      <c r="B109" s="34" t="s">
        <v>132</v>
      </c>
      <c r="C109" s="34" t="s">
        <v>149</v>
      </c>
      <c r="D109" s="34" t="s">
        <v>22</v>
      </c>
      <c r="E109" s="50" t="s">
        <v>438</v>
      </c>
    </row>
    <row r="110" spans="1:5" ht="12.75">
      <c r="A110" s="46" t="s">
        <v>376</v>
      </c>
      <c r="B110" s="34" t="s">
        <v>132</v>
      </c>
      <c r="C110" s="34" t="s">
        <v>133</v>
      </c>
      <c r="D110" s="34" t="s">
        <v>199</v>
      </c>
      <c r="E110" s="50" t="s">
        <v>439</v>
      </c>
    </row>
    <row r="111" spans="1:5" ht="12.75">
      <c r="A111" s="46" t="s">
        <v>403</v>
      </c>
      <c r="B111" s="34" t="s">
        <v>132</v>
      </c>
      <c r="C111" s="34" t="s">
        <v>142</v>
      </c>
      <c r="D111" s="34" t="s">
        <v>66</v>
      </c>
      <c r="E111" s="50" t="s">
        <v>440</v>
      </c>
    </row>
    <row r="112" spans="1:5" ht="12.75">
      <c r="A112" s="46" t="s">
        <v>312</v>
      </c>
      <c r="B112" s="34" t="s">
        <v>132</v>
      </c>
      <c r="C112" s="34" t="s">
        <v>235</v>
      </c>
      <c r="D112" s="34" t="s">
        <v>317</v>
      </c>
      <c r="E112" s="50" t="s">
        <v>441</v>
      </c>
    </row>
    <row r="113" spans="1:5" ht="12.75">
      <c r="A113" s="46" t="s">
        <v>349</v>
      </c>
      <c r="B113" s="34" t="s">
        <v>132</v>
      </c>
      <c r="C113" s="34" t="s">
        <v>149</v>
      </c>
      <c r="D113" s="34" t="s">
        <v>222</v>
      </c>
      <c r="E113" s="50" t="s">
        <v>442</v>
      </c>
    </row>
    <row r="114" spans="1:5" ht="12.75">
      <c r="A114" s="46" t="s">
        <v>318</v>
      </c>
      <c r="B114" s="34" t="s">
        <v>132</v>
      </c>
      <c r="C114" s="34" t="s">
        <v>235</v>
      </c>
      <c r="D114" s="34" t="s">
        <v>69</v>
      </c>
      <c r="E114" s="50" t="s">
        <v>443</v>
      </c>
    </row>
    <row r="115" spans="1:5" ht="12.75">
      <c r="A115" s="46" t="s">
        <v>325</v>
      </c>
      <c r="B115" s="34" t="s">
        <v>132</v>
      </c>
      <c r="C115" s="34" t="s">
        <v>139</v>
      </c>
      <c r="D115" s="34" t="s">
        <v>68</v>
      </c>
      <c r="E115" s="50" t="s">
        <v>444</v>
      </c>
    </row>
    <row r="116" spans="1:5" ht="12.75">
      <c r="A116" s="46" t="s">
        <v>322</v>
      </c>
      <c r="B116" s="34" t="s">
        <v>132</v>
      </c>
      <c r="C116" s="34" t="s">
        <v>235</v>
      </c>
      <c r="D116" s="34" t="s">
        <v>67</v>
      </c>
      <c r="E116" s="50" t="s">
        <v>445</v>
      </c>
    </row>
    <row r="118" spans="1:2" ht="14.25">
      <c r="A118" s="47" t="s">
        <v>152</v>
      </c>
      <c r="B118" s="48"/>
    </row>
    <row r="119" spans="1:5" ht="13.5">
      <c r="A119" s="49" t="s">
        <v>0</v>
      </c>
      <c r="B119" s="49" t="s">
        <v>122</v>
      </c>
      <c r="C119" s="49" t="s">
        <v>123</v>
      </c>
      <c r="D119" s="49" t="s">
        <v>7</v>
      </c>
      <c r="E119" s="49" t="s">
        <v>124</v>
      </c>
    </row>
    <row r="120" spans="1:5" ht="12.75">
      <c r="A120" s="46" t="s">
        <v>366</v>
      </c>
      <c r="B120" s="34" t="s">
        <v>270</v>
      </c>
      <c r="C120" s="34" t="s">
        <v>149</v>
      </c>
      <c r="D120" s="34" t="s">
        <v>66</v>
      </c>
      <c r="E120" s="50" t="s">
        <v>446</v>
      </c>
    </row>
    <row r="121" spans="1:5" ht="12.75">
      <c r="A121" s="46" t="s">
        <v>362</v>
      </c>
      <c r="B121" s="34" t="s">
        <v>447</v>
      </c>
      <c r="C121" s="34" t="s">
        <v>149</v>
      </c>
      <c r="D121" s="34" t="s">
        <v>27</v>
      </c>
      <c r="E121" s="50" t="s">
        <v>448</v>
      </c>
    </row>
    <row r="122" spans="1:5" ht="12.75">
      <c r="A122" s="46" t="s">
        <v>412</v>
      </c>
      <c r="B122" s="34" t="s">
        <v>449</v>
      </c>
      <c r="C122" s="34" t="s">
        <v>142</v>
      </c>
      <c r="D122" s="34" t="s">
        <v>19</v>
      </c>
      <c r="E122" s="50" t="s">
        <v>450</v>
      </c>
    </row>
    <row r="123" spans="1:5" ht="12.75">
      <c r="A123" s="46" t="s">
        <v>417</v>
      </c>
      <c r="B123" s="34" t="s">
        <v>155</v>
      </c>
      <c r="C123" s="34" t="s">
        <v>136</v>
      </c>
      <c r="D123" s="34" t="s">
        <v>70</v>
      </c>
      <c r="E123" s="50" t="s">
        <v>451</v>
      </c>
    </row>
    <row r="124" spans="1:5" ht="12.75">
      <c r="A124" s="46" t="s">
        <v>356</v>
      </c>
      <c r="B124" s="34" t="s">
        <v>153</v>
      </c>
      <c r="C124" s="34" t="s">
        <v>149</v>
      </c>
      <c r="D124" s="34" t="s">
        <v>27</v>
      </c>
      <c r="E124" s="50" t="s">
        <v>452</v>
      </c>
    </row>
    <row r="125" spans="1:5" ht="12.75">
      <c r="A125" s="46" t="s">
        <v>387</v>
      </c>
      <c r="B125" s="34" t="s">
        <v>153</v>
      </c>
      <c r="C125" s="34" t="s">
        <v>133</v>
      </c>
      <c r="D125" s="34" t="s">
        <v>27</v>
      </c>
      <c r="E125" s="50" t="s">
        <v>453</v>
      </c>
    </row>
    <row r="126" spans="1:5" ht="12.75">
      <c r="A126" s="46" t="s">
        <v>335</v>
      </c>
      <c r="B126" s="34" t="s">
        <v>153</v>
      </c>
      <c r="C126" s="34" t="s">
        <v>126</v>
      </c>
      <c r="D126" s="34" t="s">
        <v>20</v>
      </c>
      <c r="E126" s="50" t="s">
        <v>454</v>
      </c>
    </row>
    <row r="127" spans="1:5" ht="12.75">
      <c r="A127" s="46" t="s">
        <v>403</v>
      </c>
      <c r="B127" s="34" t="s">
        <v>155</v>
      </c>
      <c r="C127" s="34" t="s">
        <v>142</v>
      </c>
      <c r="D127" s="34" t="s">
        <v>20</v>
      </c>
      <c r="E127" s="50" t="s">
        <v>455</v>
      </c>
    </row>
    <row r="128" spans="1:5" ht="12.75">
      <c r="A128" s="46" t="s">
        <v>390</v>
      </c>
      <c r="B128" s="34" t="s">
        <v>153</v>
      </c>
      <c r="C128" s="34" t="s">
        <v>133</v>
      </c>
      <c r="D128" s="34" t="s">
        <v>20</v>
      </c>
      <c r="E128" s="50" t="s">
        <v>456</v>
      </c>
    </row>
    <row r="129" spans="1:5" ht="12.75">
      <c r="A129" s="46" t="s">
        <v>340</v>
      </c>
      <c r="B129" s="34" t="s">
        <v>447</v>
      </c>
      <c r="C129" s="34" t="s">
        <v>126</v>
      </c>
      <c r="D129" s="34" t="s">
        <v>69</v>
      </c>
      <c r="E129" s="50" t="s">
        <v>457</v>
      </c>
    </row>
    <row r="130" spans="1:5" ht="12.75">
      <c r="A130" s="46" t="s">
        <v>393</v>
      </c>
      <c r="B130" s="34" t="s">
        <v>153</v>
      </c>
      <c r="C130" s="34" t="s">
        <v>133</v>
      </c>
      <c r="D130" s="34" t="s">
        <v>38</v>
      </c>
      <c r="E130" s="50" t="s">
        <v>458</v>
      </c>
    </row>
    <row r="131" spans="1:5" ht="12.75">
      <c r="A131" s="46" t="s">
        <v>397</v>
      </c>
      <c r="B131" s="34" t="s">
        <v>155</v>
      </c>
      <c r="C131" s="34" t="s">
        <v>133</v>
      </c>
      <c r="D131" s="34" t="s">
        <v>49</v>
      </c>
      <c r="E131" s="50" t="s">
        <v>459</v>
      </c>
    </row>
    <row r="132" spans="1:5" ht="12.75">
      <c r="A132" s="46" t="s">
        <v>359</v>
      </c>
      <c r="B132" s="34" t="s">
        <v>155</v>
      </c>
      <c r="C132" s="34" t="s">
        <v>149</v>
      </c>
      <c r="D132" s="34" t="s">
        <v>36</v>
      </c>
      <c r="E132" s="50" t="s">
        <v>460</v>
      </c>
    </row>
    <row r="133" spans="1:5" ht="12.75">
      <c r="A133" s="46" t="s">
        <v>408</v>
      </c>
      <c r="B133" s="34" t="s">
        <v>155</v>
      </c>
      <c r="C133" s="34" t="s">
        <v>142</v>
      </c>
      <c r="D133" s="34" t="s">
        <v>49</v>
      </c>
      <c r="E133" s="50" t="s">
        <v>461</v>
      </c>
    </row>
    <row r="134" spans="1:5" ht="12.75">
      <c r="A134" s="46" t="s">
        <v>400</v>
      </c>
      <c r="B134" s="34" t="s">
        <v>155</v>
      </c>
      <c r="C134" s="34" t="s">
        <v>133</v>
      </c>
      <c r="D134" s="34" t="s">
        <v>67</v>
      </c>
      <c r="E134" s="50" t="s">
        <v>462</v>
      </c>
    </row>
  </sheetData>
  <sheetProtection/>
  <mergeCells count="24">
    <mergeCell ref="A61:L61"/>
    <mergeCell ref="A67:L67"/>
    <mergeCell ref="A15:L15"/>
    <mergeCell ref="A18:L18"/>
    <mergeCell ref="A21:L21"/>
    <mergeCell ref="A24:L24"/>
    <mergeCell ref="A30:L30"/>
    <mergeCell ref="A33:L33"/>
    <mergeCell ref="M3:M4"/>
    <mergeCell ref="A5:L5"/>
    <mergeCell ref="A9:L9"/>
    <mergeCell ref="A12:L12"/>
    <mergeCell ref="A39:L39"/>
    <mergeCell ref="A49:L4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31.125" style="34" bestFit="1" customWidth="1"/>
    <col min="7" max="9" width="5.50390625" style="34" bestFit="1" customWidth="1"/>
    <col min="10" max="10" width="4.875" style="34" bestFit="1" customWidth="1"/>
    <col min="11" max="11" width="6.625" style="34" bestFit="1" customWidth="1"/>
    <col min="12" max="12" width="8.50390625" style="34" bestFit="1" customWidth="1"/>
    <col min="13" max="13" width="7.50390625" style="34" bestFit="1" customWidth="1"/>
  </cols>
  <sheetData>
    <row r="1" spans="1:13" s="1" customFormat="1" ht="58.5" customHeight="1">
      <c r="A1" s="55" t="s">
        <v>1309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36.7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58.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5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58.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7" t="s">
        <v>463</v>
      </c>
      <c r="B6" s="37" t="s">
        <v>464</v>
      </c>
      <c r="C6" s="37" t="s">
        <v>465</v>
      </c>
      <c r="D6" s="37" t="str">
        <f>"0,6513"</f>
        <v>0,6513</v>
      </c>
      <c r="E6" s="37" t="s">
        <v>466</v>
      </c>
      <c r="F6" s="37" t="s">
        <v>101</v>
      </c>
      <c r="G6" s="37" t="s">
        <v>19</v>
      </c>
      <c r="H6" s="38" t="s">
        <v>222</v>
      </c>
      <c r="I6" s="38" t="s">
        <v>227</v>
      </c>
      <c r="J6" s="38"/>
      <c r="K6" s="37">
        <v>160</v>
      </c>
      <c r="L6" s="37" t="str">
        <f>"104,2080"</f>
        <v>104,2080</v>
      </c>
      <c r="M6" s="37"/>
    </row>
    <row r="8" spans="1:12" ht="15">
      <c r="A8" s="54" t="s">
        <v>52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39" t="s">
        <v>467</v>
      </c>
      <c r="B9" s="39" t="s">
        <v>468</v>
      </c>
      <c r="C9" s="39" t="s">
        <v>469</v>
      </c>
      <c r="D9" s="39" t="str">
        <f>"0,6161"</f>
        <v>0,6161</v>
      </c>
      <c r="E9" s="39" t="s">
        <v>17</v>
      </c>
      <c r="F9" s="39" t="s">
        <v>470</v>
      </c>
      <c r="G9" s="40" t="s">
        <v>66</v>
      </c>
      <c r="H9" s="40" t="s">
        <v>66</v>
      </c>
      <c r="I9" s="40" t="s">
        <v>66</v>
      </c>
      <c r="J9" s="40"/>
      <c r="K9" s="39">
        <v>0</v>
      </c>
      <c r="L9" s="39" t="str">
        <f>"0,0000"</f>
        <v>0,0000</v>
      </c>
      <c r="M9" s="39"/>
    </row>
    <row r="10" spans="1:13" ht="12.75">
      <c r="A10" s="41" t="s">
        <v>471</v>
      </c>
      <c r="B10" s="41" t="s">
        <v>472</v>
      </c>
      <c r="C10" s="41" t="s">
        <v>473</v>
      </c>
      <c r="D10" s="41" t="str">
        <f>"0,8161"</f>
        <v>0,8161</v>
      </c>
      <c r="E10" s="41" t="s">
        <v>17</v>
      </c>
      <c r="F10" s="41" t="s">
        <v>474</v>
      </c>
      <c r="G10" s="41" t="s">
        <v>87</v>
      </c>
      <c r="H10" s="42" t="s">
        <v>174</v>
      </c>
      <c r="I10" s="41" t="s">
        <v>174</v>
      </c>
      <c r="J10" s="42"/>
      <c r="K10" s="41">
        <v>120</v>
      </c>
      <c r="L10" s="41" t="str">
        <f>"97,9302"</f>
        <v>97,9302</v>
      </c>
      <c r="M10" s="41"/>
    </row>
    <row r="12" spans="1:12" ht="15">
      <c r="A12" s="54" t="s">
        <v>76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2.75">
      <c r="A13" s="37" t="s">
        <v>475</v>
      </c>
      <c r="B13" s="37" t="s">
        <v>476</v>
      </c>
      <c r="C13" s="37" t="s">
        <v>355</v>
      </c>
      <c r="D13" s="37" t="str">
        <f>"0,5870"</f>
        <v>0,5870</v>
      </c>
      <c r="E13" s="37" t="s">
        <v>17</v>
      </c>
      <c r="F13" s="37" t="s">
        <v>474</v>
      </c>
      <c r="G13" s="37" t="s">
        <v>33</v>
      </c>
      <c r="H13" s="37" t="s">
        <v>51</v>
      </c>
      <c r="I13" s="38" t="s">
        <v>71</v>
      </c>
      <c r="J13" s="38"/>
      <c r="K13" s="37">
        <v>225</v>
      </c>
      <c r="L13" s="37" t="str">
        <f>"132,0638"</f>
        <v>132,0638</v>
      </c>
      <c r="M13" s="37"/>
    </row>
    <row r="15" ht="15">
      <c r="E15" s="35" t="s">
        <v>113</v>
      </c>
    </row>
    <row r="16" ht="15">
      <c r="E16" s="35" t="s">
        <v>114</v>
      </c>
    </row>
    <row r="17" ht="15">
      <c r="E17" s="35" t="s">
        <v>115</v>
      </c>
    </row>
    <row r="18" ht="12.75">
      <c r="E18" s="34" t="s">
        <v>116</v>
      </c>
    </row>
    <row r="19" ht="12.75">
      <c r="E19" s="34" t="s">
        <v>117</v>
      </c>
    </row>
    <row r="20" ht="12.75">
      <c r="E20" s="34" t="s">
        <v>118</v>
      </c>
    </row>
    <row r="23" spans="1:2" ht="17.25">
      <c r="A23" s="36" t="s">
        <v>119</v>
      </c>
      <c r="B23" s="36"/>
    </row>
    <row r="24" spans="1:2" ht="15">
      <c r="A24" s="45" t="s">
        <v>120</v>
      </c>
      <c r="B24" s="45"/>
    </row>
    <row r="25" spans="1:2" ht="14.25">
      <c r="A25" s="47" t="s">
        <v>132</v>
      </c>
      <c r="B25" s="48"/>
    </row>
    <row r="26" spans="1:5" ht="13.5">
      <c r="A26" s="49" t="s">
        <v>0</v>
      </c>
      <c r="B26" s="49" t="s">
        <v>122</v>
      </c>
      <c r="C26" s="49" t="s">
        <v>123</v>
      </c>
      <c r="D26" s="49" t="s">
        <v>7</v>
      </c>
      <c r="E26" s="49" t="s">
        <v>124</v>
      </c>
    </row>
    <row r="27" spans="1:5" ht="12.75">
      <c r="A27" s="46" t="s">
        <v>475</v>
      </c>
      <c r="B27" s="34" t="s">
        <v>132</v>
      </c>
      <c r="C27" s="34" t="s">
        <v>149</v>
      </c>
      <c r="D27" s="34" t="s">
        <v>51</v>
      </c>
      <c r="E27" s="50" t="s">
        <v>477</v>
      </c>
    </row>
    <row r="28" spans="1:5" ht="12.75">
      <c r="A28" s="46" t="s">
        <v>463</v>
      </c>
      <c r="B28" s="34" t="s">
        <v>132</v>
      </c>
      <c r="C28" s="34" t="s">
        <v>139</v>
      </c>
      <c r="D28" s="34" t="s">
        <v>19</v>
      </c>
      <c r="E28" s="50" t="s">
        <v>478</v>
      </c>
    </row>
    <row r="30" spans="1:2" ht="14.25">
      <c r="A30" s="47" t="s">
        <v>152</v>
      </c>
      <c r="B30" s="48"/>
    </row>
    <row r="31" spans="1:5" ht="13.5">
      <c r="A31" s="49" t="s">
        <v>0</v>
      </c>
      <c r="B31" s="49" t="s">
        <v>122</v>
      </c>
      <c r="C31" s="49" t="s">
        <v>123</v>
      </c>
      <c r="D31" s="49" t="s">
        <v>7</v>
      </c>
      <c r="E31" s="49" t="s">
        <v>124</v>
      </c>
    </row>
    <row r="32" spans="1:5" ht="12.75">
      <c r="A32" s="46" t="s">
        <v>471</v>
      </c>
      <c r="B32" s="34" t="s">
        <v>270</v>
      </c>
      <c r="C32" s="34" t="s">
        <v>126</v>
      </c>
      <c r="D32" s="34" t="s">
        <v>174</v>
      </c>
      <c r="E32" s="50" t="s">
        <v>479</v>
      </c>
    </row>
  </sheetData>
  <sheetProtection/>
  <mergeCells count="14">
    <mergeCell ref="F3:F4"/>
    <mergeCell ref="G3:J3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25.875" style="34" bestFit="1" customWidth="1"/>
    <col min="7" max="9" width="5.50390625" style="34" bestFit="1" customWidth="1"/>
    <col min="10" max="10" width="4.875" style="34" bestFit="1" customWidth="1"/>
    <col min="11" max="11" width="6.625" style="34" bestFit="1" customWidth="1"/>
    <col min="12" max="12" width="8.50390625" style="34" bestFit="1" customWidth="1"/>
    <col min="13" max="13" width="7.50390625" style="34" bestFit="1" customWidth="1"/>
  </cols>
  <sheetData>
    <row r="1" spans="1:13" s="1" customFormat="1" ht="42.75" customHeight="1">
      <c r="A1" s="55" t="s">
        <v>1308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56.2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42.7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5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42.7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53" t="s">
        <v>97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7" t="s">
        <v>480</v>
      </c>
      <c r="B6" s="37" t="s">
        <v>481</v>
      </c>
      <c r="C6" s="37" t="s">
        <v>482</v>
      </c>
      <c r="D6" s="37" t="str">
        <f>"0,5539"</f>
        <v>0,5539</v>
      </c>
      <c r="E6" s="37" t="s">
        <v>17</v>
      </c>
      <c r="F6" s="37" t="s">
        <v>483</v>
      </c>
      <c r="G6" s="37" t="s">
        <v>95</v>
      </c>
      <c r="H6" s="37" t="s">
        <v>93</v>
      </c>
      <c r="I6" s="37" t="s">
        <v>484</v>
      </c>
      <c r="J6" s="38"/>
      <c r="K6" s="37">
        <v>287.5</v>
      </c>
      <c r="L6" s="37" t="str">
        <f>"159,2562"</f>
        <v>159,2562</v>
      </c>
      <c r="M6" s="37"/>
    </row>
    <row r="8" ht="15">
      <c r="E8" s="35" t="s">
        <v>113</v>
      </c>
    </row>
    <row r="9" ht="15">
      <c r="E9" s="35" t="s">
        <v>114</v>
      </c>
    </row>
    <row r="10" ht="15">
      <c r="E10" s="35" t="s">
        <v>115</v>
      </c>
    </row>
    <row r="11" ht="12.75">
      <c r="E11" s="34" t="s">
        <v>116</v>
      </c>
    </row>
    <row r="12" ht="12.75">
      <c r="E12" s="34" t="s">
        <v>117</v>
      </c>
    </row>
    <row r="13" ht="12.75">
      <c r="E13" s="34" t="s">
        <v>118</v>
      </c>
    </row>
    <row r="16" spans="1:2" ht="17.25">
      <c r="A16" s="36" t="s">
        <v>119</v>
      </c>
      <c r="B16" s="36"/>
    </row>
    <row r="17" spans="1:2" ht="15">
      <c r="A17" s="45" t="s">
        <v>120</v>
      </c>
      <c r="B17" s="45"/>
    </row>
    <row r="18" spans="1:2" ht="14.25">
      <c r="A18" s="47" t="s">
        <v>152</v>
      </c>
      <c r="B18" s="48"/>
    </row>
    <row r="19" spans="1:5" ht="13.5">
      <c r="A19" s="49" t="s">
        <v>0</v>
      </c>
      <c r="B19" s="49" t="s">
        <v>122</v>
      </c>
      <c r="C19" s="49" t="s">
        <v>123</v>
      </c>
      <c r="D19" s="49" t="s">
        <v>7</v>
      </c>
      <c r="E19" s="49" t="s">
        <v>124</v>
      </c>
    </row>
    <row r="20" spans="1:5" ht="12.75">
      <c r="A20" s="46" t="s">
        <v>480</v>
      </c>
      <c r="B20" s="34" t="s">
        <v>153</v>
      </c>
      <c r="C20" s="34" t="s">
        <v>142</v>
      </c>
      <c r="D20" s="34" t="s">
        <v>484</v>
      </c>
      <c r="E20" s="50" t="s">
        <v>485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4">
      <selection activeCell="G33" sqref="G33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33.125" style="34" bestFit="1" customWidth="1"/>
    <col min="7" max="10" width="5.50390625" style="34" bestFit="1" customWidth="1"/>
    <col min="11" max="11" width="6.625" style="34" bestFit="1" customWidth="1"/>
    <col min="12" max="12" width="8.50390625" style="34" bestFit="1" customWidth="1"/>
    <col min="13" max="13" width="7.50390625" style="34" bestFit="1" customWidth="1"/>
  </cols>
  <sheetData>
    <row r="1" spans="1:13" s="1" customFormat="1" ht="15" customHeight="1">
      <c r="A1" s="55" t="s">
        <v>1296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80.2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12.7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5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23.2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53" t="s">
        <v>52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9" t="s">
        <v>1271</v>
      </c>
      <c r="B6" s="39" t="s">
        <v>1272</v>
      </c>
      <c r="C6" s="39" t="s">
        <v>1273</v>
      </c>
      <c r="D6" s="39" t="str">
        <f>"0,6308"</f>
        <v>0,6308</v>
      </c>
      <c r="E6" s="39" t="s">
        <v>17</v>
      </c>
      <c r="F6" s="39" t="s">
        <v>162</v>
      </c>
      <c r="G6" s="39" t="s">
        <v>58</v>
      </c>
      <c r="H6" s="39" t="s">
        <v>96</v>
      </c>
      <c r="I6" s="39" t="s">
        <v>59</v>
      </c>
      <c r="J6" s="40" t="s">
        <v>94</v>
      </c>
      <c r="K6" s="39">
        <v>290</v>
      </c>
      <c r="L6" s="39" t="str">
        <f>"182,9320"</f>
        <v>182,9320</v>
      </c>
      <c r="M6" s="39"/>
    </row>
    <row r="7" spans="1:13" ht="12.75">
      <c r="A7" s="43" t="s">
        <v>1274</v>
      </c>
      <c r="B7" s="43" t="s">
        <v>1275</v>
      </c>
      <c r="C7" s="43" t="s">
        <v>762</v>
      </c>
      <c r="D7" s="43" t="str">
        <f>"0,6188"</f>
        <v>0,6188</v>
      </c>
      <c r="E7" s="43" t="s">
        <v>17</v>
      </c>
      <c r="F7" s="43" t="s">
        <v>1247</v>
      </c>
      <c r="G7" s="43" t="s">
        <v>34</v>
      </c>
      <c r="H7" s="43" t="s">
        <v>206</v>
      </c>
      <c r="I7" s="44" t="s">
        <v>524</v>
      </c>
      <c r="J7" s="44"/>
      <c r="K7" s="43">
        <v>242.5</v>
      </c>
      <c r="L7" s="43" t="str">
        <f>"150,0711"</f>
        <v>150,0711</v>
      </c>
      <c r="M7" s="43"/>
    </row>
    <row r="8" spans="1:13" ht="12.75">
      <c r="A8" s="41" t="s">
        <v>1276</v>
      </c>
      <c r="B8" s="41" t="s">
        <v>1277</v>
      </c>
      <c r="C8" s="41" t="s">
        <v>334</v>
      </c>
      <c r="D8" s="41" t="str">
        <f>"0,6535"</f>
        <v>0,6535</v>
      </c>
      <c r="E8" s="41" t="s">
        <v>17</v>
      </c>
      <c r="F8" s="41" t="s">
        <v>1247</v>
      </c>
      <c r="G8" s="42" t="s">
        <v>264</v>
      </c>
      <c r="H8" s="42" t="s">
        <v>264</v>
      </c>
      <c r="I8" s="42" t="s">
        <v>70</v>
      </c>
      <c r="J8" s="42"/>
      <c r="K8" s="41">
        <v>0</v>
      </c>
      <c r="L8" s="41" t="str">
        <f>"0,0000"</f>
        <v>0,0000</v>
      </c>
      <c r="M8" s="41"/>
    </row>
    <row r="10" spans="1:12" ht="15">
      <c r="A10" s="54" t="s">
        <v>76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3" ht="12.75">
      <c r="A11" s="37" t="s">
        <v>1278</v>
      </c>
      <c r="B11" s="37" t="s">
        <v>1279</v>
      </c>
      <c r="C11" s="37" t="s">
        <v>1280</v>
      </c>
      <c r="D11" s="37" t="str">
        <f>"0,5911"</f>
        <v>0,5911</v>
      </c>
      <c r="E11" s="37" t="s">
        <v>17</v>
      </c>
      <c r="F11" s="37" t="s">
        <v>101</v>
      </c>
      <c r="G11" s="38" t="s">
        <v>56</v>
      </c>
      <c r="H11" s="38" t="s">
        <v>56</v>
      </c>
      <c r="I11" s="38" t="s">
        <v>56</v>
      </c>
      <c r="J11" s="38"/>
      <c r="K11" s="37">
        <v>0</v>
      </c>
      <c r="L11" s="37" t="str">
        <f>"0,0000"</f>
        <v>0,0000</v>
      </c>
      <c r="M11" s="37"/>
    </row>
    <row r="13" spans="1:12" ht="15">
      <c r="A13" s="54" t="s">
        <v>88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3" ht="12.75">
      <c r="A14" s="39" t="s">
        <v>371</v>
      </c>
      <c r="B14" s="39" t="s">
        <v>372</v>
      </c>
      <c r="C14" s="39" t="s">
        <v>373</v>
      </c>
      <c r="D14" s="39" t="str">
        <f>"0,5640"</f>
        <v>0,5640</v>
      </c>
      <c r="E14" s="39" t="s">
        <v>374</v>
      </c>
      <c r="F14" s="39" t="s">
        <v>375</v>
      </c>
      <c r="G14" s="39" t="s">
        <v>71</v>
      </c>
      <c r="H14" s="39" t="s">
        <v>56</v>
      </c>
      <c r="I14" s="40" t="s">
        <v>57</v>
      </c>
      <c r="J14" s="40"/>
      <c r="K14" s="39">
        <v>250</v>
      </c>
      <c r="L14" s="39" t="str">
        <f>"140,9875"</f>
        <v>140,9875</v>
      </c>
      <c r="M14" s="39"/>
    </row>
    <row r="15" spans="1:13" ht="12.75">
      <c r="A15" s="41" t="s">
        <v>390</v>
      </c>
      <c r="B15" s="41" t="s">
        <v>391</v>
      </c>
      <c r="C15" s="41" t="s">
        <v>392</v>
      </c>
      <c r="D15" s="41" t="str">
        <f>"0,5784"</f>
        <v>0,5784</v>
      </c>
      <c r="E15" s="41" t="s">
        <v>17</v>
      </c>
      <c r="F15" s="41" t="s">
        <v>316</v>
      </c>
      <c r="G15" s="41" t="s">
        <v>22</v>
      </c>
      <c r="H15" s="41" t="s">
        <v>70</v>
      </c>
      <c r="I15" s="41" t="s">
        <v>33</v>
      </c>
      <c r="J15" s="42"/>
      <c r="K15" s="41">
        <v>220</v>
      </c>
      <c r="L15" s="41" t="str">
        <f>"127,2572"</f>
        <v>127,2572</v>
      </c>
      <c r="M15" s="41"/>
    </row>
    <row r="17" spans="1:12" ht="15">
      <c r="A17" s="54" t="s">
        <v>97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3" ht="12.75">
      <c r="A18" s="39" t="s">
        <v>1281</v>
      </c>
      <c r="B18" s="39" t="s">
        <v>1282</v>
      </c>
      <c r="C18" s="39" t="s">
        <v>1283</v>
      </c>
      <c r="D18" s="39" t="str">
        <f>"0,5565"</f>
        <v>0,5565</v>
      </c>
      <c r="E18" s="39" t="s">
        <v>17</v>
      </c>
      <c r="F18" s="39" t="s">
        <v>1247</v>
      </c>
      <c r="G18" s="40" t="s">
        <v>221</v>
      </c>
      <c r="H18" s="39" t="s">
        <v>221</v>
      </c>
      <c r="I18" s="39" t="s">
        <v>35</v>
      </c>
      <c r="J18" s="40"/>
      <c r="K18" s="39">
        <v>245</v>
      </c>
      <c r="L18" s="39" t="str">
        <f>"136,3303"</f>
        <v>136,3303</v>
      </c>
      <c r="M18" s="39"/>
    </row>
    <row r="19" spans="1:13" ht="12.75">
      <c r="A19" s="41" t="s">
        <v>1284</v>
      </c>
      <c r="B19" s="41" t="s">
        <v>1285</v>
      </c>
      <c r="C19" s="41" t="s">
        <v>1286</v>
      </c>
      <c r="D19" s="41" t="str">
        <f>"0,5523"</f>
        <v>0,5523</v>
      </c>
      <c r="E19" s="41" t="s">
        <v>17</v>
      </c>
      <c r="F19" s="41" t="s">
        <v>352</v>
      </c>
      <c r="G19" s="42" t="s">
        <v>1287</v>
      </c>
      <c r="H19" s="42" t="s">
        <v>1287</v>
      </c>
      <c r="I19" s="42" t="s">
        <v>1288</v>
      </c>
      <c r="J19" s="42"/>
      <c r="K19" s="41">
        <v>0</v>
      </c>
      <c r="L19" s="41" t="str">
        <f>"0,0000"</f>
        <v>0,0000</v>
      </c>
      <c r="M19" s="41"/>
    </row>
    <row r="21" spans="1:12" ht="15">
      <c r="A21" s="54" t="s">
        <v>107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3" ht="12.75">
      <c r="A22" s="37" t="s">
        <v>949</v>
      </c>
      <c r="B22" s="37" t="s">
        <v>950</v>
      </c>
      <c r="C22" s="37" t="s">
        <v>951</v>
      </c>
      <c r="D22" s="37" t="str">
        <f>"0,5422"</f>
        <v>0,5422</v>
      </c>
      <c r="E22" s="37" t="s">
        <v>17</v>
      </c>
      <c r="F22" s="37" t="s">
        <v>952</v>
      </c>
      <c r="G22" s="37" t="s">
        <v>58</v>
      </c>
      <c r="H22" s="38"/>
      <c r="I22" s="38"/>
      <c r="J22" s="38"/>
      <c r="K22" s="37">
        <v>270</v>
      </c>
      <c r="L22" s="37" t="str">
        <f>"146,3967"</f>
        <v>146,3967</v>
      </c>
      <c r="M22" s="37"/>
    </row>
    <row r="24" ht="15">
      <c r="E24" s="35" t="s">
        <v>113</v>
      </c>
    </row>
    <row r="25" ht="15">
      <c r="E25" s="35" t="s">
        <v>114</v>
      </c>
    </row>
    <row r="26" ht="15">
      <c r="E26" s="35" t="s">
        <v>115</v>
      </c>
    </row>
    <row r="27" ht="12.75">
      <c r="E27" s="34" t="s">
        <v>116</v>
      </c>
    </row>
    <row r="28" ht="12.75">
      <c r="E28" s="34" t="s">
        <v>117</v>
      </c>
    </row>
    <row r="29" ht="12.75">
      <c r="E29" s="34" t="s">
        <v>118</v>
      </c>
    </row>
    <row r="32" spans="1:2" ht="17.25">
      <c r="A32" s="36" t="s">
        <v>119</v>
      </c>
      <c r="B32" s="36"/>
    </row>
    <row r="33" spans="1:2" ht="15">
      <c r="A33" s="45" t="s">
        <v>120</v>
      </c>
      <c r="B33" s="45"/>
    </row>
    <row r="34" spans="1:2" ht="14.25">
      <c r="A34" s="47" t="s">
        <v>121</v>
      </c>
      <c r="B34" s="48"/>
    </row>
    <row r="35" spans="1:5" ht="13.5">
      <c r="A35" s="49" t="s">
        <v>0</v>
      </c>
      <c r="B35" s="49" t="s">
        <v>122</v>
      </c>
      <c r="C35" s="49" t="s">
        <v>123</v>
      </c>
      <c r="D35" s="49" t="s">
        <v>7</v>
      </c>
      <c r="E35" s="49" t="s">
        <v>124</v>
      </c>
    </row>
    <row r="36" spans="1:5" ht="12.75">
      <c r="A36" s="46" t="s">
        <v>1281</v>
      </c>
      <c r="B36" s="34" t="s">
        <v>125</v>
      </c>
      <c r="C36" s="34" t="s">
        <v>142</v>
      </c>
      <c r="D36" s="34" t="s">
        <v>35</v>
      </c>
      <c r="E36" s="50" t="s">
        <v>1289</v>
      </c>
    </row>
    <row r="38" spans="1:2" ht="14.25">
      <c r="A38" s="47" t="s">
        <v>132</v>
      </c>
      <c r="B38" s="48"/>
    </row>
    <row r="39" spans="1:5" ht="13.5">
      <c r="A39" s="49" t="s">
        <v>0</v>
      </c>
      <c r="B39" s="49" t="s">
        <v>122</v>
      </c>
      <c r="C39" s="49" t="s">
        <v>123</v>
      </c>
      <c r="D39" s="49" t="s">
        <v>7</v>
      </c>
      <c r="E39" s="49" t="s">
        <v>124</v>
      </c>
    </row>
    <row r="40" spans="1:5" ht="12.75">
      <c r="A40" s="46" t="s">
        <v>1271</v>
      </c>
      <c r="B40" s="34" t="s">
        <v>132</v>
      </c>
      <c r="C40" s="34" t="s">
        <v>126</v>
      </c>
      <c r="D40" s="34" t="s">
        <v>59</v>
      </c>
      <c r="E40" s="50" t="s">
        <v>1290</v>
      </c>
    </row>
    <row r="41" spans="1:5" ht="12.75">
      <c r="A41" s="46" t="s">
        <v>1274</v>
      </c>
      <c r="B41" s="34" t="s">
        <v>132</v>
      </c>
      <c r="C41" s="34" t="s">
        <v>126</v>
      </c>
      <c r="D41" s="34" t="s">
        <v>206</v>
      </c>
      <c r="E41" s="50" t="s">
        <v>1291</v>
      </c>
    </row>
    <row r="42" spans="1:5" ht="12.75">
      <c r="A42" s="46" t="s">
        <v>371</v>
      </c>
      <c r="B42" s="34" t="s">
        <v>132</v>
      </c>
      <c r="C42" s="34" t="s">
        <v>133</v>
      </c>
      <c r="D42" s="34" t="s">
        <v>56</v>
      </c>
      <c r="E42" s="50" t="s">
        <v>1292</v>
      </c>
    </row>
    <row r="44" spans="1:2" ht="14.25">
      <c r="A44" s="47" t="s">
        <v>152</v>
      </c>
      <c r="B44" s="48"/>
    </row>
    <row r="45" spans="1:5" ht="13.5">
      <c r="A45" s="49" t="s">
        <v>0</v>
      </c>
      <c r="B45" s="49" t="s">
        <v>122</v>
      </c>
      <c r="C45" s="49" t="s">
        <v>123</v>
      </c>
      <c r="D45" s="49" t="s">
        <v>7</v>
      </c>
      <c r="E45" s="49" t="s">
        <v>124</v>
      </c>
    </row>
    <row r="46" spans="1:5" ht="12.75">
      <c r="A46" s="46" t="s">
        <v>949</v>
      </c>
      <c r="B46" s="34" t="s">
        <v>153</v>
      </c>
      <c r="C46" s="34" t="s">
        <v>136</v>
      </c>
      <c r="D46" s="34" t="s">
        <v>58</v>
      </c>
      <c r="E46" s="50" t="s">
        <v>1293</v>
      </c>
    </row>
    <row r="47" spans="1:5" ht="12.75">
      <c r="A47" s="46" t="s">
        <v>390</v>
      </c>
      <c r="B47" s="34" t="s">
        <v>153</v>
      </c>
      <c r="C47" s="34" t="s">
        <v>133</v>
      </c>
      <c r="D47" s="34" t="s">
        <v>33</v>
      </c>
      <c r="E47" s="50" t="s">
        <v>1294</v>
      </c>
    </row>
  </sheetData>
  <sheetProtection/>
  <mergeCells count="16">
    <mergeCell ref="A17:L17"/>
    <mergeCell ref="A21:L21"/>
    <mergeCell ref="K3:K4"/>
    <mergeCell ref="L3:L4"/>
    <mergeCell ref="M3:M4"/>
    <mergeCell ref="A5:L5"/>
    <mergeCell ref="A10:L10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7.00390625" style="34" bestFit="1" customWidth="1"/>
    <col min="2" max="2" width="19.12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33.125" style="34" bestFit="1" customWidth="1"/>
    <col min="7" max="9" width="5.50390625" style="34" bestFit="1" customWidth="1"/>
    <col min="10" max="10" width="4.875" style="34" bestFit="1" customWidth="1"/>
    <col min="11" max="11" width="6.625" style="34" bestFit="1" customWidth="1"/>
    <col min="12" max="12" width="6.50390625" style="34" bestFit="1" customWidth="1"/>
    <col min="13" max="13" width="7.50390625" style="34" bestFit="1" customWidth="1"/>
  </cols>
  <sheetData>
    <row r="1" spans="1:13" s="1" customFormat="1" ht="15" customHeight="1">
      <c r="A1" s="55" t="s">
        <v>1297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81.7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12.75" customHeight="1">
      <c r="A3" s="61" t="s">
        <v>0</v>
      </c>
      <c r="B3" s="63" t="s">
        <v>12</v>
      </c>
      <c r="C3" s="63" t="s">
        <v>11</v>
      </c>
      <c r="D3" s="65" t="s">
        <v>1</v>
      </c>
      <c r="E3" s="65" t="s">
        <v>2</v>
      </c>
      <c r="F3" s="68" t="s">
        <v>3</v>
      </c>
      <c r="G3" s="61" t="s">
        <v>5</v>
      </c>
      <c r="H3" s="65"/>
      <c r="I3" s="65"/>
      <c r="J3" s="51"/>
      <c r="K3" s="66" t="s">
        <v>7</v>
      </c>
      <c r="L3" s="65" t="s">
        <v>9</v>
      </c>
      <c r="M3" s="51" t="s">
        <v>8</v>
      </c>
    </row>
    <row r="4" spans="1:13" s="7" customFormat="1" ht="23.25" customHeight="1" thickBot="1">
      <c r="A4" s="62"/>
      <c r="B4" s="64"/>
      <c r="C4" s="64"/>
      <c r="D4" s="64"/>
      <c r="E4" s="64"/>
      <c r="F4" s="69"/>
      <c r="G4" s="3">
        <v>1</v>
      </c>
      <c r="H4" s="2">
        <v>2</v>
      </c>
      <c r="I4" s="2">
        <v>3</v>
      </c>
      <c r="J4" s="4" t="s">
        <v>10</v>
      </c>
      <c r="K4" s="67"/>
      <c r="L4" s="64"/>
      <c r="M4" s="52"/>
    </row>
    <row r="5" spans="1:12" ht="15">
      <c r="A5" s="53" t="s">
        <v>1295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7" t="s">
        <v>1266</v>
      </c>
      <c r="B6" s="37" t="s">
        <v>1267</v>
      </c>
      <c r="C6" s="37" t="s">
        <v>1268</v>
      </c>
      <c r="D6" s="37" t="str">
        <f>"0,5258"</f>
        <v>0,5258</v>
      </c>
      <c r="E6" s="37" t="s">
        <v>17</v>
      </c>
      <c r="F6" s="37" t="s">
        <v>1247</v>
      </c>
      <c r="G6" s="38" t="s">
        <v>1269</v>
      </c>
      <c r="H6" s="38" t="s">
        <v>1269</v>
      </c>
      <c r="I6" s="38" t="s">
        <v>1270</v>
      </c>
      <c r="J6" s="38"/>
      <c r="K6" s="37">
        <v>0</v>
      </c>
      <c r="L6" s="37" t="str">
        <f>"0,0000"</f>
        <v>0,0000</v>
      </c>
      <c r="M6" s="37"/>
    </row>
    <row r="8" ht="15">
      <c r="E8" s="35" t="s">
        <v>113</v>
      </c>
    </row>
    <row r="9" ht="15">
      <c r="E9" s="35" t="s">
        <v>114</v>
      </c>
    </row>
    <row r="10" ht="15">
      <c r="E10" s="35" t="s">
        <v>115</v>
      </c>
    </row>
    <row r="11" ht="12.75">
      <c r="E11" s="34" t="s">
        <v>116</v>
      </c>
    </row>
    <row r="12" ht="12.75">
      <c r="E12" s="34" t="s">
        <v>117</v>
      </c>
    </row>
    <row r="13" ht="12.75">
      <c r="E13" s="34" t="s">
        <v>118</v>
      </c>
    </row>
    <row r="16" spans="1:2" ht="17.25">
      <c r="A16" s="36" t="s">
        <v>119</v>
      </c>
      <c r="B16" s="36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625" style="34" bestFit="1" customWidth="1"/>
    <col min="4" max="4" width="6.875" style="34" bestFit="1" customWidth="1"/>
    <col min="5" max="5" width="17.375" style="34" bestFit="1" customWidth="1"/>
    <col min="6" max="6" width="30.00390625" style="34" bestFit="1" customWidth="1"/>
    <col min="7" max="7" width="5.50390625" style="34" bestFit="1" customWidth="1"/>
    <col min="8" max="8" width="7.50390625" style="34" bestFit="1" customWidth="1"/>
    <col min="9" max="9" width="2.125" style="34" bestFit="1" customWidth="1"/>
    <col min="10" max="10" width="4.875" style="34" bestFit="1" customWidth="1"/>
    <col min="11" max="11" width="6.625" style="34" bestFit="1" customWidth="1"/>
    <col min="12" max="12" width="9.50390625" style="34" bestFit="1" customWidth="1"/>
    <col min="13" max="13" width="7.50390625" style="34" bestFit="1" customWidth="1"/>
  </cols>
  <sheetData>
    <row r="1" spans="1:13" s="1" customFormat="1" ht="15" customHeight="1">
      <c r="A1" s="55" t="s">
        <v>1452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1" customFormat="1" ht="87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7" customFormat="1" ht="12.75" customHeight="1">
      <c r="A3" s="61" t="s">
        <v>0</v>
      </c>
      <c r="B3" s="63" t="s">
        <v>1398</v>
      </c>
      <c r="C3" s="63" t="s">
        <v>11</v>
      </c>
      <c r="D3" s="65" t="s">
        <v>1</v>
      </c>
      <c r="E3" s="65" t="s">
        <v>2</v>
      </c>
      <c r="F3" s="68" t="s">
        <v>3</v>
      </c>
      <c r="G3" s="65" t="s">
        <v>5</v>
      </c>
      <c r="H3" s="65"/>
      <c r="I3" s="65"/>
      <c r="J3" s="65"/>
      <c r="K3" s="65" t="s">
        <v>7</v>
      </c>
      <c r="L3" s="65" t="s">
        <v>9</v>
      </c>
      <c r="M3" s="51" t="s">
        <v>8</v>
      </c>
    </row>
    <row r="4" spans="1:13" s="7" customFormat="1" ht="23.25" customHeight="1" thickBot="1">
      <c r="A4" s="62"/>
      <c r="B4" s="64"/>
      <c r="C4" s="64"/>
      <c r="D4" s="64"/>
      <c r="E4" s="64"/>
      <c r="F4" s="69"/>
      <c r="G4" s="2" t="s">
        <v>1397</v>
      </c>
      <c r="H4" s="2" t="s">
        <v>1396</v>
      </c>
      <c r="I4" s="2">
        <v>3</v>
      </c>
      <c r="J4" s="4" t="s">
        <v>10</v>
      </c>
      <c r="K4" s="64"/>
      <c r="L4" s="64"/>
      <c r="M4" s="52"/>
    </row>
    <row r="5" spans="1:12" ht="15">
      <c r="A5" s="53" t="s">
        <v>285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37" t="s">
        <v>1394</v>
      </c>
      <c r="B6" s="37" t="s">
        <v>1393</v>
      </c>
      <c r="C6" s="37" t="s">
        <v>1392</v>
      </c>
      <c r="D6" s="37" t="str">
        <f>"1,2238"</f>
        <v>1,2238</v>
      </c>
      <c r="E6" s="37" t="s">
        <v>17</v>
      </c>
      <c r="F6" s="37" t="s">
        <v>101</v>
      </c>
      <c r="G6" s="37" t="s">
        <v>165</v>
      </c>
      <c r="H6" s="37" t="s">
        <v>1405</v>
      </c>
      <c r="I6" s="38"/>
      <c r="J6" s="38"/>
      <c r="K6" s="37">
        <v>1350</v>
      </c>
      <c r="L6" s="37" t="str">
        <f>"1652,1586"</f>
        <v>1652,1586</v>
      </c>
      <c r="M6" s="37"/>
    </row>
    <row r="8" spans="1:12" ht="15">
      <c r="A8" s="54" t="s">
        <v>285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37" t="s">
        <v>1406</v>
      </c>
      <c r="B9" s="37" t="s">
        <v>1407</v>
      </c>
      <c r="C9" s="37" t="s">
        <v>1408</v>
      </c>
      <c r="D9" s="37" t="str">
        <f>"0,9963"</f>
        <v>0,9963</v>
      </c>
      <c r="E9" s="37" t="s">
        <v>17</v>
      </c>
      <c r="F9" s="37" t="s">
        <v>299</v>
      </c>
      <c r="G9" s="37" t="s">
        <v>630</v>
      </c>
      <c r="H9" s="37" t="s">
        <v>1409</v>
      </c>
      <c r="I9" s="38"/>
      <c r="J9" s="38"/>
      <c r="K9" s="37">
        <v>0</v>
      </c>
      <c r="L9" s="37" t="str">
        <f>"0,0000"</f>
        <v>0,0000</v>
      </c>
      <c r="M9" s="37"/>
    </row>
    <row r="11" spans="1:12" ht="15">
      <c r="A11" s="54" t="s">
        <v>52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ht="12.75">
      <c r="A12" s="39" t="s">
        <v>1410</v>
      </c>
      <c r="B12" s="39" t="s">
        <v>1411</v>
      </c>
      <c r="C12" s="39" t="s">
        <v>756</v>
      </c>
      <c r="D12" s="39" t="str">
        <f>"0,6130"</f>
        <v>0,6130</v>
      </c>
      <c r="E12" s="39" t="s">
        <v>17</v>
      </c>
      <c r="F12" s="39" t="s">
        <v>101</v>
      </c>
      <c r="G12" s="39" t="s">
        <v>23</v>
      </c>
      <c r="H12" s="39" t="s">
        <v>1380</v>
      </c>
      <c r="I12" s="40"/>
      <c r="J12" s="40"/>
      <c r="K12" s="39">
        <v>3690</v>
      </c>
      <c r="L12" s="39" t="str">
        <f>"2261,9699"</f>
        <v>2261,9699</v>
      </c>
      <c r="M12" s="39"/>
    </row>
    <row r="13" spans="1:13" ht="12.75">
      <c r="A13" s="41" t="s">
        <v>340</v>
      </c>
      <c r="B13" s="41" t="s">
        <v>341</v>
      </c>
      <c r="C13" s="41" t="s">
        <v>342</v>
      </c>
      <c r="D13" s="41" t="str">
        <f>"0,7512"</f>
        <v>0,7512</v>
      </c>
      <c r="E13" s="41" t="s">
        <v>17</v>
      </c>
      <c r="F13" s="41" t="s">
        <v>299</v>
      </c>
      <c r="G13" s="41" t="s">
        <v>163</v>
      </c>
      <c r="H13" s="41" t="s">
        <v>1412</v>
      </c>
      <c r="I13" s="42"/>
      <c r="J13" s="42"/>
      <c r="K13" s="41">
        <v>1955</v>
      </c>
      <c r="L13" s="41" t="str">
        <f>"1468,5741"</f>
        <v>1468,5741</v>
      </c>
      <c r="M13" s="41"/>
    </row>
    <row r="15" spans="1:12" ht="15">
      <c r="A15" s="54" t="s">
        <v>76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3" ht="12.75">
      <c r="A16" s="39" t="s">
        <v>1413</v>
      </c>
      <c r="B16" s="39" t="s">
        <v>1414</v>
      </c>
      <c r="C16" s="39" t="s">
        <v>1415</v>
      </c>
      <c r="D16" s="39" t="str">
        <f>"0,6082"</f>
        <v>0,6082</v>
      </c>
      <c r="E16" s="39" t="s">
        <v>17</v>
      </c>
      <c r="F16" s="39" t="s">
        <v>101</v>
      </c>
      <c r="G16" s="39" t="s">
        <v>173</v>
      </c>
      <c r="H16" s="39" t="s">
        <v>1371</v>
      </c>
      <c r="I16" s="40"/>
      <c r="J16" s="40"/>
      <c r="K16" s="39">
        <v>3422.5</v>
      </c>
      <c r="L16" s="39" t="str">
        <f>"2081,5645"</f>
        <v>2081,5645</v>
      </c>
      <c r="M16" s="39"/>
    </row>
    <row r="17" spans="1:13" ht="12.75">
      <c r="A17" s="43" t="s">
        <v>1416</v>
      </c>
      <c r="B17" s="43" t="s">
        <v>1417</v>
      </c>
      <c r="C17" s="43" t="s">
        <v>1418</v>
      </c>
      <c r="D17" s="43" t="str">
        <f>"0,5816"</f>
        <v>0,5816</v>
      </c>
      <c r="E17" s="43" t="s">
        <v>17</v>
      </c>
      <c r="F17" s="43" t="s">
        <v>1419</v>
      </c>
      <c r="G17" s="43" t="s">
        <v>24</v>
      </c>
      <c r="H17" s="43" t="s">
        <v>1420</v>
      </c>
      <c r="I17" s="44"/>
      <c r="J17" s="44"/>
      <c r="K17" s="43">
        <v>3400</v>
      </c>
      <c r="L17" s="43" t="str">
        <f>"1977,2700"</f>
        <v>1977,2700</v>
      </c>
      <c r="M17" s="43"/>
    </row>
    <row r="18" spans="1:13" ht="12.75">
      <c r="A18" s="41" t="s">
        <v>1314</v>
      </c>
      <c r="B18" s="41" t="s">
        <v>1367</v>
      </c>
      <c r="C18" s="41" t="s">
        <v>1366</v>
      </c>
      <c r="D18" s="41" t="str">
        <f>"0,6156"</f>
        <v>0,6156</v>
      </c>
      <c r="E18" s="41" t="s">
        <v>17</v>
      </c>
      <c r="F18" s="41" t="s">
        <v>1365</v>
      </c>
      <c r="G18" s="41" t="s">
        <v>24</v>
      </c>
      <c r="H18" s="41" t="s">
        <v>1364</v>
      </c>
      <c r="I18" s="42"/>
      <c r="J18" s="42"/>
      <c r="K18" s="41">
        <v>2200</v>
      </c>
      <c r="L18" s="41" t="str">
        <f>"1354,4195"</f>
        <v>1354,4195</v>
      </c>
      <c r="M18" s="41"/>
    </row>
    <row r="20" spans="1:12" ht="15">
      <c r="A20" s="54" t="s">
        <v>88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3" ht="12.75">
      <c r="A21" s="39" t="s">
        <v>1421</v>
      </c>
      <c r="B21" s="39" t="s">
        <v>1422</v>
      </c>
      <c r="C21" s="39" t="s">
        <v>1423</v>
      </c>
      <c r="D21" s="39" t="str">
        <f>"0,5760"</f>
        <v>0,5760</v>
      </c>
      <c r="E21" s="39" t="s">
        <v>1424</v>
      </c>
      <c r="F21" s="39" t="s">
        <v>101</v>
      </c>
      <c r="G21" s="39" t="s">
        <v>25</v>
      </c>
      <c r="H21" s="40" t="s">
        <v>1425</v>
      </c>
      <c r="I21" s="40"/>
      <c r="J21" s="40"/>
      <c r="K21" s="39">
        <v>5022.5</v>
      </c>
      <c r="L21" s="39" t="str">
        <f>"2893,2110"</f>
        <v>2893,2110</v>
      </c>
      <c r="M21" s="39"/>
    </row>
    <row r="22" spans="1:13" ht="12.75">
      <c r="A22" s="43" t="s">
        <v>1426</v>
      </c>
      <c r="B22" s="43" t="s">
        <v>1427</v>
      </c>
      <c r="C22" s="43" t="s">
        <v>1428</v>
      </c>
      <c r="D22" s="43" t="str">
        <f>"0,5795"</f>
        <v>0,5795</v>
      </c>
      <c r="E22" s="43" t="s">
        <v>17</v>
      </c>
      <c r="F22" s="43" t="s">
        <v>1429</v>
      </c>
      <c r="G22" s="43" t="s">
        <v>25</v>
      </c>
      <c r="H22" s="43" t="s">
        <v>1430</v>
      </c>
      <c r="I22" s="44"/>
      <c r="J22" s="44"/>
      <c r="K22" s="43">
        <v>3587.5</v>
      </c>
      <c r="L22" s="43" t="str">
        <f>"2078,7769"</f>
        <v>2078,7769</v>
      </c>
      <c r="M22" s="43"/>
    </row>
    <row r="23" spans="1:13" ht="12.75">
      <c r="A23" s="43" t="s">
        <v>384</v>
      </c>
      <c r="B23" s="43" t="s">
        <v>385</v>
      </c>
      <c r="C23" s="43" t="s">
        <v>386</v>
      </c>
      <c r="D23" s="43" t="str">
        <f>"0,5659"</f>
        <v>0,5659</v>
      </c>
      <c r="E23" s="43" t="s">
        <v>17</v>
      </c>
      <c r="F23" s="43" t="s">
        <v>101</v>
      </c>
      <c r="G23" s="43" t="s">
        <v>67</v>
      </c>
      <c r="H23" s="43" t="s">
        <v>1431</v>
      </c>
      <c r="I23" s="44"/>
      <c r="J23" s="44"/>
      <c r="K23" s="43">
        <v>2310</v>
      </c>
      <c r="L23" s="43" t="str">
        <f>"1307,3444"</f>
        <v>1307,3444</v>
      </c>
      <c r="M23" s="43"/>
    </row>
    <row r="24" spans="1:13" ht="12.75">
      <c r="A24" s="41" t="s">
        <v>393</v>
      </c>
      <c r="B24" s="41" t="s">
        <v>394</v>
      </c>
      <c r="C24" s="41" t="s">
        <v>395</v>
      </c>
      <c r="D24" s="41" t="str">
        <f>"0,5827"</f>
        <v>0,5827</v>
      </c>
      <c r="E24" s="41" t="s">
        <v>17</v>
      </c>
      <c r="F24" s="41" t="s">
        <v>1432</v>
      </c>
      <c r="G24" s="41" t="s">
        <v>26</v>
      </c>
      <c r="H24" s="41" t="s">
        <v>1433</v>
      </c>
      <c r="I24" s="42"/>
      <c r="J24" s="42"/>
      <c r="K24" s="41">
        <v>1890</v>
      </c>
      <c r="L24" s="41" t="str">
        <f>"1101,2558"</f>
        <v>1101,2558</v>
      </c>
      <c r="M24" s="41"/>
    </row>
    <row r="26" ht="15">
      <c r="E26" s="35" t="s">
        <v>113</v>
      </c>
    </row>
    <row r="27" ht="15">
      <c r="E27" s="35" t="s">
        <v>114</v>
      </c>
    </row>
    <row r="28" ht="15">
      <c r="E28" s="35" t="s">
        <v>115</v>
      </c>
    </row>
    <row r="29" ht="12.75">
      <c r="E29" s="34" t="s">
        <v>116</v>
      </c>
    </row>
    <row r="30" ht="12.75">
      <c r="E30" s="34" t="s">
        <v>117</v>
      </c>
    </row>
    <row r="31" ht="12.75">
      <c r="E31" s="34" t="s">
        <v>118</v>
      </c>
    </row>
    <row r="34" spans="1:2" ht="17.25">
      <c r="A34" s="36" t="s">
        <v>119</v>
      </c>
      <c r="B34" s="36"/>
    </row>
    <row r="35" spans="1:2" ht="15">
      <c r="A35" s="45" t="s">
        <v>231</v>
      </c>
      <c r="B35" s="45"/>
    </row>
    <row r="36" spans="1:2" ht="14.25">
      <c r="A36" s="47" t="s">
        <v>152</v>
      </c>
      <c r="B36" s="48"/>
    </row>
    <row r="37" spans="1:5" ht="13.5">
      <c r="A37" s="49" t="s">
        <v>0</v>
      </c>
      <c r="B37" s="49" t="s">
        <v>122</v>
      </c>
      <c r="C37" s="49" t="s">
        <v>123</v>
      </c>
      <c r="D37" s="49" t="s">
        <v>7</v>
      </c>
      <c r="E37" s="49" t="s">
        <v>124</v>
      </c>
    </row>
    <row r="38" spans="1:5" ht="12.75">
      <c r="A38" s="46" t="s">
        <v>1394</v>
      </c>
      <c r="B38" s="34" t="s">
        <v>155</v>
      </c>
      <c r="C38" s="34" t="s">
        <v>422</v>
      </c>
      <c r="D38" s="34" t="s">
        <v>1356</v>
      </c>
      <c r="E38" s="50" t="s">
        <v>1434</v>
      </c>
    </row>
    <row r="41" spans="1:2" ht="15">
      <c r="A41" s="45" t="s">
        <v>120</v>
      </c>
      <c r="B41" s="45"/>
    </row>
    <row r="42" spans="1:2" ht="14.25">
      <c r="A42" s="47" t="s">
        <v>132</v>
      </c>
      <c r="B42" s="48"/>
    </row>
    <row r="43" spans="1:5" ht="13.5">
      <c r="A43" s="49" t="s">
        <v>0</v>
      </c>
      <c r="B43" s="49" t="s">
        <v>122</v>
      </c>
      <c r="C43" s="49" t="s">
        <v>123</v>
      </c>
      <c r="D43" s="49" t="s">
        <v>7</v>
      </c>
      <c r="E43" s="49" t="s">
        <v>124</v>
      </c>
    </row>
    <row r="44" spans="1:5" ht="12.75">
      <c r="A44" s="46" t="s">
        <v>1421</v>
      </c>
      <c r="B44" s="34" t="s">
        <v>132</v>
      </c>
      <c r="C44" s="34" t="s">
        <v>133</v>
      </c>
      <c r="D44" s="34" t="s">
        <v>1435</v>
      </c>
      <c r="E44" s="50" t="s">
        <v>1436</v>
      </c>
    </row>
    <row r="45" spans="1:5" ht="12.75">
      <c r="A45" s="46" t="s">
        <v>1410</v>
      </c>
      <c r="B45" s="34" t="s">
        <v>132</v>
      </c>
      <c r="C45" s="34" t="s">
        <v>126</v>
      </c>
      <c r="D45" s="34" t="s">
        <v>1437</v>
      </c>
      <c r="E45" s="50" t="s">
        <v>1438</v>
      </c>
    </row>
    <row r="46" spans="1:5" ht="12.75">
      <c r="A46" s="46" t="s">
        <v>1413</v>
      </c>
      <c r="B46" s="34" t="s">
        <v>132</v>
      </c>
      <c r="C46" s="34" t="s">
        <v>149</v>
      </c>
      <c r="D46" s="34" t="s">
        <v>1439</v>
      </c>
      <c r="E46" s="50" t="s">
        <v>1440</v>
      </c>
    </row>
    <row r="47" spans="1:5" ht="12.75">
      <c r="A47" s="46" t="s">
        <v>1426</v>
      </c>
      <c r="B47" s="34" t="s">
        <v>132</v>
      </c>
      <c r="C47" s="34" t="s">
        <v>133</v>
      </c>
      <c r="D47" s="34" t="s">
        <v>1441</v>
      </c>
      <c r="E47" s="50" t="s">
        <v>1442</v>
      </c>
    </row>
    <row r="48" spans="1:5" ht="12.75">
      <c r="A48" s="46" t="s">
        <v>1416</v>
      </c>
      <c r="B48" s="34" t="s">
        <v>132</v>
      </c>
      <c r="C48" s="34" t="s">
        <v>149</v>
      </c>
      <c r="D48" s="34" t="s">
        <v>1443</v>
      </c>
      <c r="E48" s="50" t="s">
        <v>1444</v>
      </c>
    </row>
    <row r="49" spans="1:5" ht="12.75">
      <c r="A49" s="46" t="s">
        <v>384</v>
      </c>
      <c r="B49" s="34" t="s">
        <v>132</v>
      </c>
      <c r="C49" s="34" t="s">
        <v>133</v>
      </c>
      <c r="D49" s="34" t="s">
        <v>1445</v>
      </c>
      <c r="E49" s="50" t="s">
        <v>1446</v>
      </c>
    </row>
    <row r="51" spans="1:2" ht="14.25">
      <c r="A51" s="47" t="s">
        <v>152</v>
      </c>
      <c r="B51" s="48"/>
    </row>
    <row r="52" spans="1:5" ht="13.5">
      <c r="A52" s="49" t="s">
        <v>0</v>
      </c>
      <c r="B52" s="49" t="s">
        <v>122</v>
      </c>
      <c r="C52" s="49" t="s">
        <v>123</v>
      </c>
      <c r="D52" s="49" t="s">
        <v>7</v>
      </c>
      <c r="E52" s="49" t="s">
        <v>124</v>
      </c>
    </row>
    <row r="53" spans="1:5" ht="12.75">
      <c r="A53" s="46" t="s">
        <v>340</v>
      </c>
      <c r="B53" s="34" t="s">
        <v>447</v>
      </c>
      <c r="C53" s="34" t="s">
        <v>126</v>
      </c>
      <c r="D53" s="34" t="s">
        <v>1447</v>
      </c>
      <c r="E53" s="50" t="s">
        <v>1448</v>
      </c>
    </row>
    <row r="54" spans="1:5" ht="12.75">
      <c r="A54" s="46" t="s">
        <v>1314</v>
      </c>
      <c r="B54" s="34" t="s">
        <v>155</v>
      </c>
      <c r="C54" s="34" t="s">
        <v>149</v>
      </c>
      <c r="D54" s="34" t="s">
        <v>1313</v>
      </c>
      <c r="E54" s="50" t="s">
        <v>1312</v>
      </c>
    </row>
    <row r="55" spans="1:5" ht="12.75">
      <c r="A55" s="46" t="s">
        <v>393</v>
      </c>
      <c r="B55" s="34" t="s">
        <v>153</v>
      </c>
      <c r="C55" s="34" t="s">
        <v>133</v>
      </c>
      <c r="D55" s="34" t="s">
        <v>1449</v>
      </c>
      <c r="E55" s="50" t="s">
        <v>1450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5:L15"/>
    <mergeCell ref="A20:L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user</cp:lastModifiedBy>
  <cp:lastPrinted>2008-02-22T21:19:54Z</cp:lastPrinted>
  <dcterms:created xsi:type="dcterms:W3CDTF">2002-06-16T13:36:44Z</dcterms:created>
  <dcterms:modified xsi:type="dcterms:W3CDTF">2018-12-21T05:49:05Z</dcterms:modified>
  <cp:category/>
  <cp:version/>
  <cp:contentType/>
  <cp:contentStatus/>
</cp:coreProperties>
</file>