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AWPA DL std.eq" sheetId="1" r:id="rId1"/>
    <sheet name="AWPA DL raw" sheetId="2" r:id="rId2"/>
    <sheet name="WPA DL std.eq" sheetId="3" r:id="rId3"/>
    <sheet name="WPA DL raw" sheetId="4" r:id="rId4"/>
    <sheet name="AWPA BP raw" sheetId="5" r:id="rId5"/>
    <sheet name="AWPA PL raw" sheetId="6" r:id="rId6"/>
    <sheet name="WPA BP raw" sheetId="7" r:id="rId7"/>
    <sheet name="WPA PL raw" sheetId="8" r:id="rId8"/>
    <sheet name="AWPC soft equip benchpress" sheetId="9" r:id="rId9"/>
    <sheet name="WPC soft equip benchpress" sheetId="10" r:id="rId10"/>
    <sheet name="M-repeat BP WPC 1 bw" sheetId="11" r:id="rId11"/>
    <sheet name="M-repeat BP AWPC 1 bw" sheetId="12" r:id="rId12"/>
    <sheet name="M-repeat BP WPC 0,5 bw" sheetId="13" r:id="rId13"/>
  </sheets>
  <definedNames>
    <definedName name="Excel_BuiltIn__FilterDatabase" localSheetId="7">'WPA PL raw'!$A$1:$S$3</definedName>
    <definedName name="Excel_BuiltIn__FilterDatabase" localSheetId="8">'AWPC soft equip benchpress'!$A$1:$K$3</definedName>
  </definedNames>
  <calcPr fullCalcOnLoad="1"/>
</workbook>
</file>

<file path=xl/sharedStrings.xml><?xml version="1.0" encoding="utf-8"?>
<sst xmlns="http://schemas.openxmlformats.org/spreadsheetml/2006/main" count="1734" uniqueCount="564">
  <si>
    <t>World Champions Cup WPA/AWPA - 2017 AWPA DL standard equip
10th of December 2017</t>
  </si>
  <si>
    <t>Name</t>
  </si>
  <si>
    <t xml:space="preserve">Age Categoty
Bith date/Age
</t>
  </si>
  <si>
    <t>Body
weight</t>
  </si>
  <si>
    <t>Gloss</t>
  </si>
  <si>
    <t>Team</t>
  </si>
  <si>
    <t>Town</t>
  </si>
  <si>
    <t>Deadlift</t>
  </si>
  <si>
    <t>Totall</t>
  </si>
  <si>
    <t>Pts</t>
  </si>
  <si>
    <t>Coach</t>
  </si>
  <si>
    <t>Rec</t>
  </si>
  <si>
    <t>Body Weight Category  82.5</t>
  </si>
  <si>
    <t>Fillipov Igor</t>
  </si>
  <si>
    <t>Open (05.10.1984)/33</t>
  </si>
  <si>
    <t>81,50</t>
  </si>
  <si>
    <t>lichno</t>
  </si>
  <si>
    <t>Khimki/Moskovskaya oblast</t>
  </si>
  <si>
    <t>260,0</t>
  </si>
  <si>
    <t>272,5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</si>
  <si>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</si>
  <si>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</si>
  <si>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</si>
  <si>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</si>
  <si>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</si>
  <si>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</si>
  <si>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</si>
  <si>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Man</t>
  </si>
  <si>
    <t>Open</t>
  </si>
  <si>
    <t>Age class</t>
  </si>
  <si>
    <t>WC</t>
  </si>
  <si>
    <t>Coef.</t>
  </si>
  <si>
    <t>82.5</t>
  </si>
  <si>
    <t>162,3960</t>
  </si>
  <si>
    <t>World Champions Cup WPA/AWPA - 2017 AWPA DL raw
10th of December 2017</t>
  </si>
  <si>
    <t>Body Weight Category  52</t>
  </si>
  <si>
    <t>Enina Elena</t>
  </si>
  <si>
    <t>Open (10.05.1989)/28</t>
  </si>
  <si>
    <t>52,16</t>
  </si>
  <si>
    <t>Russia</t>
  </si>
  <si>
    <t>Kursk/Kurskaya oblast</t>
  </si>
  <si>
    <t>115,0</t>
  </si>
  <si>
    <t>Body Weight Category  67.5</t>
  </si>
  <si>
    <t>Piskaryov Vladislav</t>
  </si>
  <si>
    <t>Juniors 20-23 (21.03.1995)/22</t>
  </si>
  <si>
    <t>66,80</t>
  </si>
  <si>
    <t>Moscow</t>
  </si>
  <si>
    <t>170,0</t>
  </si>
  <si>
    <t>180,0</t>
  </si>
  <si>
    <t>187,5</t>
  </si>
  <si>
    <t>Body Weight Category  75</t>
  </si>
  <si>
    <t>Osokin Alexandr</t>
  </si>
  <si>
    <t>Juniors 20-23 (22.03.1995)/22</t>
  </si>
  <si>
    <t>74,30</t>
  </si>
  <si>
    <t>150,0</t>
  </si>
  <si>
    <t>160,0</t>
  </si>
  <si>
    <t>Gruzdev Valentin</t>
  </si>
  <si>
    <t>Open (08.05.1990)/27</t>
  </si>
  <si>
    <t>74,80</t>
  </si>
  <si>
    <t>Khabarovsk/Khabarovskiy kray</t>
  </si>
  <si>
    <t>195,0</t>
  </si>
  <si>
    <t>202,5</t>
  </si>
  <si>
    <t>205,0</t>
  </si>
  <si>
    <t>Kulkov Andrey</t>
  </si>
  <si>
    <t>Sub Masters 33-39 (30.04.1983)/34</t>
  </si>
  <si>
    <t>73,40</t>
  </si>
  <si>
    <t>Bryansk/Bryanskaya oblast</t>
  </si>
  <si>
    <t>185,0</t>
  </si>
  <si>
    <t>200,0</t>
  </si>
  <si>
    <t>Kapriyenko A.N.</t>
  </si>
  <si>
    <t>Konstantinov Nikolay</t>
  </si>
  <si>
    <t>Masters 60-64 (15.03.1957)/60</t>
  </si>
  <si>
    <t>72,10</t>
  </si>
  <si>
    <t>Rossiya</t>
  </si>
  <si>
    <t>Yakutsk/Yakutiya</t>
  </si>
  <si>
    <t>190,0</t>
  </si>
  <si>
    <t>Kratt Nikita</t>
  </si>
  <si>
    <t>Teen 16-17 (08.11.2000)/17</t>
  </si>
  <si>
    <t>80,20</t>
  </si>
  <si>
    <t>DYuSSh Staryy gorodok</t>
  </si>
  <si>
    <t>Moskovskiy/Moskovskaya oblast</t>
  </si>
  <si>
    <t>225,0</t>
  </si>
  <si>
    <t>237,5</t>
  </si>
  <si>
    <t>245,0</t>
  </si>
  <si>
    <t>Body Weight Category  90</t>
  </si>
  <si>
    <t>Volkov Vladimir</t>
  </si>
  <si>
    <t>Teen 16-17 (26.10.2000)/17</t>
  </si>
  <si>
    <t>88,00</t>
  </si>
  <si>
    <t>Chalenko Victor</t>
  </si>
  <si>
    <t>Open (04.12.1987)/30</t>
  </si>
  <si>
    <t>86,70</t>
  </si>
  <si>
    <t>Krasnoznamensk/Moskovskaya oblast</t>
  </si>
  <si>
    <t>235,0</t>
  </si>
  <si>
    <t>255,0</t>
  </si>
  <si>
    <t>Aliev Vusal</t>
  </si>
  <si>
    <t>Open (06.01.1985)/32</t>
  </si>
  <si>
    <t>88,60</t>
  </si>
  <si>
    <t>Perm/Permskiy kray</t>
  </si>
  <si>
    <t>212,5</t>
  </si>
  <si>
    <t>217,5</t>
  </si>
  <si>
    <t>222,5</t>
  </si>
  <si>
    <t>Body Weight Category  100</t>
  </si>
  <si>
    <t>Gureev Alexey</t>
  </si>
  <si>
    <t>Open (15.12.1989)/28</t>
  </si>
  <si>
    <t>93,30</t>
  </si>
  <si>
    <t>Body Weight Category  110</t>
  </si>
  <si>
    <t>Neznamov Maksim</t>
  </si>
  <si>
    <t>Open (21.02.1978)/39</t>
  </si>
  <si>
    <t>107,50</t>
  </si>
  <si>
    <t>275,0</t>
  </si>
  <si>
    <t>280,0</t>
  </si>
  <si>
    <t>290,0</t>
  </si>
  <si>
    <t>Mardonov Ruslan</t>
  </si>
  <si>
    <t>Open (23.06.1978)/39</t>
  </si>
  <si>
    <t>102,90</t>
  </si>
  <si>
    <t>210,0</t>
  </si>
  <si>
    <t>220,0</t>
  </si>
  <si>
    <t>Smirnov Aleksandr</t>
  </si>
  <si>
    <t>Masters 40-44 (21.04.1974)/43</t>
  </si>
  <si>
    <t>109,30</t>
  </si>
  <si>
    <t>215,0</t>
  </si>
  <si>
    <t>230,0</t>
  </si>
  <si>
    <t>Teenagers</t>
  </si>
  <si>
    <t>Teen 16-17</t>
  </si>
  <si>
    <t>150,0525</t>
  </si>
  <si>
    <t>90</t>
  </si>
  <si>
    <t>121,6675</t>
  </si>
  <si>
    <t>Junior</t>
  </si>
  <si>
    <t>Juniors 20-23</t>
  </si>
  <si>
    <t>67.5</t>
  </si>
  <si>
    <t>137,3812</t>
  </si>
  <si>
    <t>75</t>
  </si>
  <si>
    <t>107,1040</t>
  </si>
  <si>
    <t>110</t>
  </si>
  <si>
    <t>151,1440</t>
  </si>
  <si>
    <t>146,7795</t>
  </si>
  <si>
    <t>132,8198</t>
  </si>
  <si>
    <t>131,4975</t>
  </si>
  <si>
    <t>120,4940</t>
  </si>
  <si>
    <t>100</t>
  </si>
  <si>
    <t>116,1135</t>
  </si>
  <si>
    <t>Masters</t>
  </si>
  <si>
    <t>Masters 60-64</t>
  </si>
  <si>
    <t>225,6611</t>
  </si>
  <si>
    <t>Masters 40-44</t>
  </si>
  <si>
    <t>117,5988</t>
  </si>
  <si>
    <t>World Champions Cup WPA/AWPA - 2017 WPA DL standard equip
10th, December 2017</t>
  </si>
  <si>
    <t>Prokaev Nikolay</t>
  </si>
  <si>
    <t>Open (17.06.1987)/30</t>
  </si>
  <si>
    <t>65,00</t>
  </si>
  <si>
    <t>154,0370</t>
  </si>
  <si>
    <t>World Champions Cup WPA/AWPA - 2017 WPA DL raw
10th of December 2017</t>
  </si>
  <si>
    <t>Body Weight Category  125</t>
  </si>
  <si>
    <t>Ikaev Sarmat</t>
  </si>
  <si>
    <t>Juniors 20-23 (08.11.1996)/21</t>
  </si>
  <si>
    <t>120,80</t>
  </si>
  <si>
    <t>250,0</t>
  </si>
  <si>
    <t>270,0</t>
  </si>
  <si>
    <t>Bereznikov Alexandr</t>
  </si>
  <si>
    <t>Masters 50-54 (26.01.1964)/53</t>
  </si>
  <si>
    <t>115,20</t>
  </si>
  <si>
    <t>Rzhev/Tverskaya oblast</t>
  </si>
  <si>
    <t>125</t>
  </si>
  <si>
    <t>142,0740</t>
  </si>
  <si>
    <t>Masters 50-54</t>
  </si>
  <si>
    <t>183,7261</t>
  </si>
  <si>
    <t>World Champions Cup WPA/AWPA - 2017 AWPA BP raw
10th of December 2017</t>
  </si>
  <si>
    <t>Benchpress</t>
  </si>
  <si>
    <t>Popkova Albina</t>
  </si>
  <si>
    <t>Open (07.09.1989)/28</t>
  </si>
  <si>
    <t>Podolsk/Moskovskaya oblast</t>
  </si>
  <si>
    <t>70,0</t>
  </si>
  <si>
    <t>75,0</t>
  </si>
  <si>
    <t>77,5</t>
  </si>
  <si>
    <t>Body Weight Category  56</t>
  </si>
  <si>
    <t>Romenskaya Natalia</t>
  </si>
  <si>
    <t>Open (14.05.1985)/32</t>
  </si>
  <si>
    <t>55,79</t>
  </si>
  <si>
    <t>57,5</t>
  </si>
  <si>
    <t>62,5</t>
  </si>
  <si>
    <t>Musin Fadis</t>
  </si>
  <si>
    <t>Open (20.03.1989)/28</t>
  </si>
  <si>
    <t>65,80</t>
  </si>
  <si>
    <t>Balashikha/Moskovskaya oblast</t>
  </si>
  <si>
    <t>135,0</t>
  </si>
  <si>
    <t>Sherlin Mikhail</t>
  </si>
  <si>
    <t>Teen 16-17 (23.02.2000)/17</t>
  </si>
  <si>
    <t>73,60</t>
  </si>
  <si>
    <t>Sankt-Peterburg</t>
  </si>
  <si>
    <t>117,5</t>
  </si>
  <si>
    <t>Voloshin Sergey</t>
  </si>
  <si>
    <t>Open (09.09.1978)/39</t>
  </si>
  <si>
    <t>75,00</t>
  </si>
  <si>
    <t>Sochi/Krasnodarskiy kray</t>
  </si>
  <si>
    <t>120,0</t>
  </si>
  <si>
    <t>130,0</t>
  </si>
  <si>
    <t>125,0</t>
  </si>
  <si>
    <t>127,5</t>
  </si>
  <si>
    <t>Vorobyov Vitaliy</t>
  </si>
  <si>
    <t>Open (30.06.1981)/36</t>
  </si>
  <si>
    <t>72,50</t>
  </si>
  <si>
    <t>Naro-Fominsk/Moskovskaya oblast</t>
  </si>
  <si>
    <t>110,0</t>
  </si>
  <si>
    <t>Sudarev Dmitriy</t>
  </si>
  <si>
    <t>Open (14.09.1990)/27</t>
  </si>
  <si>
    <t>72,80</t>
  </si>
  <si>
    <t>Romanovskiy Dmitriy</t>
  </si>
  <si>
    <t>Open (01.12.1991)/26</t>
  </si>
  <si>
    <t>79,20</t>
  </si>
  <si>
    <t>Zelenograd/Moskovskaya oblast</t>
  </si>
  <si>
    <t>145,0</t>
  </si>
  <si>
    <t>152,5</t>
  </si>
  <si>
    <t>Sugak Oleg</t>
  </si>
  <si>
    <t>Open (27.03.1991)/26</t>
  </si>
  <si>
    <t>82,40</t>
  </si>
  <si>
    <t>Krasnozavodsk/Moskovskaya oblast</t>
  </si>
  <si>
    <t>142,5</t>
  </si>
  <si>
    <t>147,5</t>
  </si>
  <si>
    <t>Vasiliev Ivan</t>
  </si>
  <si>
    <t>Open (08.06.1991)/26</t>
  </si>
  <si>
    <t>81,90</t>
  </si>
  <si>
    <t>Tambov/Tambovskaya oblast</t>
  </si>
  <si>
    <t>Kozlov Igor</t>
  </si>
  <si>
    <t>Open (24.08.1990)/27</t>
  </si>
  <si>
    <t>81,20</t>
  </si>
  <si>
    <t>Solnechnogorsk/Moskovskaya oblast</t>
  </si>
  <si>
    <t>Vorobyov Sergey</t>
  </si>
  <si>
    <t>Open (26.04.1980)/37</t>
  </si>
  <si>
    <t>122,5</t>
  </si>
  <si>
    <t>Voronov Alexandr</t>
  </si>
  <si>
    <t>Open (28.06.1990)/27</t>
  </si>
  <si>
    <t>88,80</t>
  </si>
  <si>
    <t>132,5</t>
  </si>
  <si>
    <t>Urazov Sergey</t>
  </si>
  <si>
    <t>Open (01.10.1993)/24</t>
  </si>
  <si>
    <t>86,90</t>
  </si>
  <si>
    <t>Mytishchi/Moskovskaya oblast</t>
  </si>
  <si>
    <t>Metrischev Abdul-Rashid</t>
  </si>
  <si>
    <t>Open (10.01.1974)/43</t>
  </si>
  <si>
    <t>98,70</t>
  </si>
  <si>
    <t>Irongame</t>
  </si>
  <si>
    <t>Volgograd/Volgogradskaya oblast</t>
  </si>
  <si>
    <t>Masters 40-44 (10.01.1974)/43</t>
  </si>
  <si>
    <t>Romasenko Nikolay</t>
  </si>
  <si>
    <t>Masters 40-44 (19.12.1973)/44</t>
  </si>
  <si>
    <t>99,10</t>
  </si>
  <si>
    <t>172,5</t>
  </si>
  <si>
    <t>182,5</t>
  </si>
  <si>
    <t>Shabanov Vadim</t>
  </si>
  <si>
    <t>Masters 45-49 (03.02.1972)/45</t>
  </si>
  <si>
    <t>94,10</t>
  </si>
  <si>
    <t>Korolev/Moskovskaya oblast</t>
  </si>
  <si>
    <t>Kiryanov Alexey</t>
  </si>
  <si>
    <t>Open (07.04.1989)/28</t>
  </si>
  <si>
    <t>101,30</t>
  </si>
  <si>
    <t>167,5</t>
  </si>
  <si>
    <t>175,0</t>
  </si>
  <si>
    <t>Pauesov Anatoliy</t>
  </si>
  <si>
    <t>Masters 60-64 (14.06.1953)/64</t>
  </si>
  <si>
    <t>109,50</t>
  </si>
  <si>
    <t>Sergiyev Posad/Moskovskaya oblast</t>
  </si>
  <si>
    <t>Malyshev Alexandr</t>
  </si>
  <si>
    <t>Open (27.02.1981)/36</t>
  </si>
  <si>
    <t>117,00</t>
  </si>
  <si>
    <t>Raskhodchikov Dobrogor</t>
  </si>
  <si>
    <t>Masters 40-44 (14.02.1977)/40</t>
  </si>
  <si>
    <t>118,80</t>
  </si>
  <si>
    <t>155,0</t>
  </si>
  <si>
    <t>165,0</t>
  </si>
  <si>
    <t>Bichkov Igor</t>
  </si>
  <si>
    <t>Masters 45-49 (18.06.1970)/47</t>
  </si>
  <si>
    <t>113,00</t>
  </si>
  <si>
    <t>Chubarov Vladimir</t>
  </si>
  <si>
    <t>Masters 50-54 (03.04.1964)/53</t>
  </si>
  <si>
    <t>123,90</t>
  </si>
  <si>
    <t>177,5</t>
  </si>
  <si>
    <t>Ratkin Alexandr</t>
  </si>
  <si>
    <t>Masters 55-59 (09.05.1960)/57</t>
  </si>
  <si>
    <t>112,60</t>
  </si>
  <si>
    <t>105,0</t>
  </si>
  <si>
    <t>Body Weight Category  140</t>
  </si>
  <si>
    <t>Seleznev Vladimir</t>
  </si>
  <si>
    <t>Masters 40-44 (09.05.1977)/40</t>
  </si>
  <si>
    <t>127,20</t>
  </si>
  <si>
    <t>Odintsovo/Moskovskaya oblast</t>
  </si>
  <si>
    <t>Women</t>
  </si>
  <si>
    <t>52</t>
  </si>
  <si>
    <t>74,9425</t>
  </si>
  <si>
    <t>56</t>
  </si>
  <si>
    <t>52,3825</t>
  </si>
  <si>
    <t>105,8870</t>
  </si>
  <si>
    <t>101,9350</t>
  </si>
  <si>
    <t>97,2340</t>
  </si>
  <si>
    <t>89,7075</t>
  </si>
  <si>
    <t>88,3215</t>
  </si>
  <si>
    <t>84,0240</t>
  </si>
  <si>
    <t>83,6273</t>
  </si>
  <si>
    <t>80,2290</t>
  </si>
  <si>
    <t>79,8405</t>
  </si>
  <si>
    <t>79,6635</t>
  </si>
  <si>
    <t>79,2615</t>
  </si>
  <si>
    <t>76,5135</t>
  </si>
  <si>
    <t>145,2453</t>
  </si>
  <si>
    <t>115,4802</t>
  </si>
  <si>
    <t>107,7930</t>
  </si>
  <si>
    <t>104,6720</t>
  </si>
  <si>
    <t>Masters 45-49</t>
  </si>
  <si>
    <t>100,4389</t>
  </si>
  <si>
    <t>95,6950</t>
  </si>
  <si>
    <t>140</t>
  </si>
  <si>
    <t>94,6007</t>
  </si>
  <si>
    <t>84,4960</t>
  </si>
  <si>
    <t>Masters 55-59</t>
  </si>
  <si>
    <t>82,9214</t>
  </si>
  <si>
    <t>World Champions Cup WPA/AWPA - 2017 AWPA PL raw
10th of December 2017</t>
  </si>
  <si>
    <t>Squat</t>
  </si>
  <si>
    <t>Sidorkina Natalia</t>
  </si>
  <si>
    <t>Open (13.04.1987)/30</t>
  </si>
  <si>
    <t>54,89</t>
  </si>
  <si>
    <t>90,0</t>
  </si>
  <si>
    <t>95,0</t>
  </si>
  <si>
    <t>100,0</t>
  </si>
  <si>
    <t>50,0</t>
  </si>
  <si>
    <t>55,0</t>
  </si>
  <si>
    <t>Kontar Inessa</t>
  </si>
  <si>
    <t>Open (25.01.1980)/37</t>
  </si>
  <si>
    <t>53,98</t>
  </si>
  <si>
    <t>65,0</t>
  </si>
  <si>
    <t>72,5</t>
  </si>
  <si>
    <t>40,0</t>
  </si>
  <si>
    <t>45,0</t>
  </si>
  <si>
    <t>112,5</t>
  </si>
  <si>
    <t>Balamutova Yulia</t>
  </si>
  <si>
    <t>Open (08.12.1986)/31</t>
  </si>
  <si>
    <t>54,43</t>
  </si>
  <si>
    <t>60,0</t>
  </si>
  <si>
    <t>67,5</t>
  </si>
  <si>
    <t>25,0</t>
  </si>
  <si>
    <t>30,0</t>
  </si>
  <si>
    <t>32,5</t>
  </si>
  <si>
    <t>Mindlina Anastasiya</t>
  </si>
  <si>
    <t>Juniors 20-23 (09.06.1996)/21</t>
  </si>
  <si>
    <t>61,24</t>
  </si>
  <si>
    <t>Polyakov Artyom</t>
  </si>
  <si>
    <t>Juniors 20-23 (05.12.1994)/23</t>
  </si>
  <si>
    <t>81,30</t>
  </si>
  <si>
    <t>227,5</t>
  </si>
  <si>
    <t>Ansimov Andrey</t>
  </si>
  <si>
    <t>Open (22.12.1987)/30</t>
  </si>
  <si>
    <t>89,70</t>
  </si>
  <si>
    <t>240,0</t>
  </si>
  <si>
    <t>Pauyesov A.I.</t>
  </si>
  <si>
    <t>207,5</t>
  </si>
  <si>
    <t>137,5</t>
  </si>
  <si>
    <t>Borisov Nikolay</t>
  </si>
  <si>
    <t>Masters 55-59 (05.01.1962)/55</t>
  </si>
  <si>
    <t>89,20</t>
  </si>
  <si>
    <t>102,5</t>
  </si>
  <si>
    <t>107,5</t>
  </si>
  <si>
    <t>Lakhanov Ivan</t>
  </si>
  <si>
    <t>95,90</t>
  </si>
  <si>
    <t>Mikhailov Andrey</t>
  </si>
  <si>
    <t>Sub Masters 33-39 (18.07.1983)/34</t>
  </si>
  <si>
    <t>94,90</t>
  </si>
  <si>
    <t>Kubinka/Moskovskaya oblast</t>
  </si>
  <si>
    <t>140,0</t>
  </si>
  <si>
    <t>Bezpalenko Artyom</t>
  </si>
  <si>
    <t>Open (21.03.1990)/27</t>
  </si>
  <si>
    <t>109,10</t>
  </si>
  <si>
    <t>192,5</t>
  </si>
  <si>
    <t>267,5</t>
  </si>
  <si>
    <t>317,5</t>
  </si>
  <si>
    <t>268,6685</t>
  </si>
  <si>
    <t>259,3640</t>
  </si>
  <si>
    <t>220,6650</t>
  </si>
  <si>
    <t>153,9945</t>
  </si>
  <si>
    <t>527,5</t>
  </si>
  <si>
    <t>330,0567</t>
  </si>
  <si>
    <t>687,5</t>
  </si>
  <si>
    <t>369,6000</t>
  </si>
  <si>
    <t>675,0</t>
  </si>
  <si>
    <t>364,3650</t>
  </si>
  <si>
    <t>595,0</t>
  </si>
  <si>
    <t>348,9675</t>
  </si>
  <si>
    <t>552,5</t>
  </si>
  <si>
    <t>326,5275</t>
  </si>
  <si>
    <t>560,0</t>
  </si>
  <si>
    <t>316,4560</t>
  </si>
  <si>
    <t>435,0</t>
  </si>
  <si>
    <t>353,2766</t>
  </si>
  <si>
    <t>World Champions Cup WPA/AWPA - 2017 WPA BP raw
10th of December 2017</t>
  </si>
  <si>
    <t>Bachmaga Olga</t>
  </si>
  <si>
    <t>Open (23.09.1985)/32</t>
  </si>
  <si>
    <t>53,07</t>
  </si>
  <si>
    <t>Miroshnikov Artemiy</t>
  </si>
  <si>
    <t>Open (05.11.1981)/36</t>
  </si>
  <si>
    <t>54,10</t>
  </si>
  <si>
    <t>Nizhniy Novgorod/Nizhegorodskaya oblast</t>
  </si>
  <si>
    <t>85,0</t>
  </si>
  <si>
    <t>Simutkin Alexey</t>
  </si>
  <si>
    <t>Open (21.06.1986)/31</t>
  </si>
  <si>
    <t>79,10</t>
  </si>
  <si>
    <t>Jafarov Nofar</t>
  </si>
  <si>
    <t>Open (23.06.1989)/28</t>
  </si>
  <si>
    <t>98,90</t>
  </si>
  <si>
    <t>Angarsk/Irkutskaya oblast</t>
  </si>
  <si>
    <t>Grigoriev Yuriy</t>
  </si>
  <si>
    <t>Open (09.02.1982)/35</t>
  </si>
  <si>
    <t>100,00</t>
  </si>
  <si>
    <t>Ramenskoye/Moskovskaya oblast</t>
  </si>
  <si>
    <t>197,5</t>
  </si>
  <si>
    <t>Kurinnoy Igor</t>
  </si>
  <si>
    <t>Juniors 20-23 (01.12.1996)/21</t>
  </si>
  <si>
    <t>102,00</t>
  </si>
  <si>
    <t>Rostov-na-Donu/Rostovskaya oblast</t>
  </si>
  <si>
    <t>Kolesnikov Vladislav</t>
  </si>
  <si>
    <t>Open (19.06.1984)/33</t>
  </si>
  <si>
    <t>104,20</t>
  </si>
  <si>
    <t>Tikhonov Oleg</t>
  </si>
  <si>
    <t>Masters 45-49 (21.08.1969)/48</t>
  </si>
  <si>
    <t>106,90</t>
  </si>
  <si>
    <t>Abrosimov Evgeniy</t>
  </si>
  <si>
    <t>Masters 50-54 (29.09.1966)/51</t>
  </si>
  <si>
    <t>104,80</t>
  </si>
  <si>
    <t>71,5350</t>
  </si>
  <si>
    <t>90,6675</t>
  </si>
  <si>
    <t>122,4960</t>
  </si>
  <si>
    <t>113,1290</t>
  </si>
  <si>
    <t>109,4150</t>
  </si>
  <si>
    <t>95,7300</t>
  </si>
  <si>
    <t>77,2820</t>
  </si>
  <si>
    <t>131,0193</t>
  </si>
  <si>
    <t>108,8748</t>
  </si>
  <si>
    <t>102,6735</t>
  </si>
  <si>
    <t>World Champions Cup WPA/AWPA - 2017 WPA PL raw
10th of December 2017</t>
  </si>
  <si>
    <t>Kryuchkov Sergey</t>
  </si>
  <si>
    <t>Masters 45-49 (22.06.1970)/47</t>
  </si>
  <si>
    <t>69,10</t>
  </si>
  <si>
    <t>80,0</t>
  </si>
  <si>
    <t>670,0</t>
  </si>
  <si>
    <t>352,5540</t>
  </si>
  <si>
    <t>World Champions Cup WPC/AWPC - 2017 AWPC soft equip benchpress
10th of December 2017</t>
  </si>
  <si>
    <t>Goncharov Andrey</t>
  </si>
  <si>
    <t>Open (27.01.1984)/33</t>
  </si>
  <si>
    <t>67,10</t>
  </si>
  <si>
    <t>Aleysk/Altayskiy kray</t>
  </si>
  <si>
    <t>Ivanov Alexey</t>
  </si>
  <si>
    <t>Open (20.06.1990)/27</t>
  </si>
  <si>
    <t>86,80</t>
  </si>
  <si>
    <t>109,0690</t>
  </si>
  <si>
    <t>93,6975</t>
  </si>
  <si>
    <t>World Champions Cup WPC/AWPC - 2017 WPC soft equip benchpress
10th of December 2017</t>
  </si>
  <si>
    <t>Myachik Sergey</t>
  </si>
  <si>
    <t>Open (25.08.1979)/38</t>
  </si>
  <si>
    <t>252,5</t>
  </si>
  <si>
    <t>Leksin Aleksey</t>
  </si>
  <si>
    <t>Juniors 20-23 (09.03.1996)/21</t>
  </si>
  <si>
    <t>97,30</t>
  </si>
  <si>
    <t>Kotelniki/Moskovskaya oblast</t>
  </si>
  <si>
    <t>Prudnikov Sergey</t>
  </si>
  <si>
    <t>Open (31.03.1981)/36</t>
  </si>
  <si>
    <t>112,50</t>
  </si>
  <si>
    <t>301,0</t>
  </si>
  <si>
    <t>305,0</t>
  </si>
  <si>
    <t>114,7087</t>
  </si>
  <si>
    <t>300,0</t>
  </si>
  <si>
    <t>167,7450</t>
  </si>
  <si>
    <t>151,0303</t>
  </si>
  <si>
    <t>World Champions Cup WPC/AWPC - 2017 WPC multy-repeat benchpress single body weight
10th of December 2017</t>
  </si>
  <si>
    <t>Bith date
Age Categoty</t>
  </si>
  <si>
    <t>Вес</t>
  </si>
  <si>
    <t>Кол-во</t>
  </si>
  <si>
    <t>35,0</t>
  </si>
  <si>
    <t>Egorov Alexendr</t>
  </si>
  <si>
    <t>Open (21.03.1983)/34</t>
  </si>
  <si>
    <t>Lukhovitsy/Moskovskaya oblast</t>
  </si>
  <si>
    <t>Petruk Aleksandr</t>
  </si>
  <si>
    <t>Masters 40-44 (18.09.1976)/41</t>
  </si>
  <si>
    <t>69,30</t>
  </si>
  <si>
    <t>Vladivostok/Primorskiy kray</t>
  </si>
  <si>
    <t>Lisin Alexandr</t>
  </si>
  <si>
    <t>Open (10.04.1990)/27</t>
  </si>
  <si>
    <t>78,90</t>
  </si>
  <si>
    <t>Kazin Aleksandr</t>
  </si>
  <si>
    <t>Open (11.07.1988)/29</t>
  </si>
  <si>
    <t>79,50</t>
  </si>
  <si>
    <t>38,0</t>
  </si>
  <si>
    <t>Simutkin Aleksey</t>
  </si>
  <si>
    <t>Tsutskiridze Nodar</t>
  </si>
  <si>
    <t>Masters 40-44 (14.09.1976)/41</t>
  </si>
  <si>
    <t>97,50</t>
  </si>
  <si>
    <t>97,5</t>
  </si>
  <si>
    <t>29,0</t>
  </si>
  <si>
    <t>22,0</t>
  </si>
  <si>
    <t>3600,0</t>
  </si>
  <si>
    <t>2390,7600</t>
  </si>
  <si>
    <t>3040,0</t>
  </si>
  <si>
    <t>2008,2240</t>
  </si>
  <si>
    <t>2625,0</t>
  </si>
  <si>
    <t>1807,4437</t>
  </si>
  <si>
    <t>2275,0</t>
  </si>
  <si>
    <t>1759,2575</t>
  </si>
  <si>
    <t>2400,0</t>
  </si>
  <si>
    <t>1590,9599</t>
  </si>
  <si>
    <t>2450,0</t>
  </si>
  <si>
    <t>1811,8290</t>
  </si>
  <si>
    <t>2827,5</t>
  </si>
  <si>
    <t>1678,4818</t>
  </si>
  <si>
    <t>2310,0</t>
  </si>
  <si>
    <t>1513,0369</t>
  </si>
  <si>
    <t>World Champions Cup WPC/AWPC - 2017 AWPC multy-repeat benchpress single body weight
10th of December 2017</t>
  </si>
  <si>
    <t>Karnaushkina Irina</t>
  </si>
  <si>
    <t>Masters 45-49 (30.06.1972)/45</t>
  </si>
  <si>
    <t>50,00</t>
  </si>
  <si>
    <t>20,0</t>
  </si>
  <si>
    <t>Filonenko Ivan</t>
  </si>
  <si>
    <t>19,0</t>
  </si>
  <si>
    <t>Roslyakov Alexandr</t>
  </si>
  <si>
    <t>Open (12.06.1992)/25</t>
  </si>
  <si>
    <t>73,90</t>
  </si>
  <si>
    <t>IRONGAME</t>
  </si>
  <si>
    <t>57,0</t>
  </si>
  <si>
    <t>Grishanin Alexandr</t>
  </si>
  <si>
    <t>Open (27.07.1987)/30</t>
  </si>
  <si>
    <t>70,60</t>
  </si>
  <si>
    <t>28,0</t>
  </si>
  <si>
    <t>Zaytsev Denis</t>
  </si>
  <si>
    <t>Open (22.02.1983)/34</t>
  </si>
  <si>
    <t>80,80</t>
  </si>
  <si>
    <t>82,5</t>
  </si>
  <si>
    <t>33,0</t>
  </si>
  <si>
    <t>14,0</t>
  </si>
  <si>
    <t>87,5</t>
  </si>
  <si>
    <t>31,0</t>
  </si>
  <si>
    <t>Zhegulin Andrey</t>
  </si>
  <si>
    <t>Open (26.06.1980)/37</t>
  </si>
  <si>
    <t>101,90</t>
  </si>
  <si>
    <t>1000,0</t>
  </si>
  <si>
    <t>1205,1265</t>
  </si>
  <si>
    <t>1425,0</t>
  </si>
  <si>
    <t>995,0775</t>
  </si>
  <si>
    <t>4275,0</t>
  </si>
  <si>
    <t>2976,0413</t>
  </si>
  <si>
    <t>3262,5</t>
  </si>
  <si>
    <t>2353,0781</t>
  </si>
  <si>
    <t>3382,5</t>
  </si>
  <si>
    <t>1951,3643</t>
  </si>
  <si>
    <t>2722,5</t>
  </si>
  <si>
    <t>1779,0177</t>
  </si>
  <si>
    <t>3075,0</t>
  </si>
  <si>
    <t>1778,1187</t>
  </si>
  <si>
    <t>2712,5</t>
  </si>
  <si>
    <t>1695,5838</t>
  </si>
  <si>
    <t>2100,0</t>
  </si>
  <si>
    <t>1448,7900</t>
  </si>
  <si>
    <t>1155,0</t>
  </si>
  <si>
    <t>750,4612</t>
  </si>
  <si>
    <t>World Champions Cup WPC/AWPC - 2017 AWPC multy-repeat benchpress half body weight
10th of December 2017</t>
  </si>
  <si>
    <t>Sigalov Mark</t>
  </si>
  <si>
    <t>Teen 16-17 (04.08.2001)/16</t>
  </si>
  <si>
    <t>51,90</t>
  </si>
  <si>
    <t>27,5</t>
  </si>
  <si>
    <t>1237,5</t>
  </si>
  <si>
    <t>1198,4569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</si>
</sst>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b/>
      <i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2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9" fillId="0" borderId="10" xfId="0" applyNumberFormat="1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5" fontId="20" fillId="0" borderId="11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/>
    </xf>
    <xf numFmtId="165" fontId="20" fillId="0" borderId="13" xfId="0" applyNumberFormat="1" applyFont="1" applyFill="1" applyBorder="1" applyAlignment="1">
      <alignment horizontal="center" vertical="center"/>
    </xf>
    <xf numFmtId="165" fontId="20" fillId="0" borderId="14" xfId="0" applyNumberFormat="1" applyFont="1" applyFill="1" applyBorder="1" applyAlignment="1">
      <alignment horizontal="center" vertical="center"/>
    </xf>
    <xf numFmtId="165" fontId="20" fillId="0" borderId="15" xfId="0" applyNumberFormat="1" applyFont="1" applyFill="1" applyBorder="1" applyAlignment="1">
      <alignment horizontal="center" vertical="center"/>
    </xf>
    <xf numFmtId="165" fontId="20" fillId="0" borderId="16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1" fillId="0" borderId="17" xfId="0" applyNumberFormat="1" applyFont="1" applyFill="1" applyBorder="1" applyAlignment="1">
      <alignment horizontal="center" vertical="center"/>
    </xf>
    <xf numFmtId="165" fontId="21" fillId="0" borderId="18" xfId="0" applyNumberFormat="1" applyFont="1" applyFill="1" applyBorder="1" applyAlignment="1">
      <alignment horizontal="center" vertical="center"/>
    </xf>
    <xf numFmtId="165" fontId="21" fillId="0" borderId="19" xfId="0" applyNumberFormat="1" applyFont="1" applyFill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/>
    </xf>
    <xf numFmtId="165" fontId="23" fillId="0" borderId="21" xfId="0" applyNumberFormat="1" applyFont="1" applyBorder="1" applyAlignment="1">
      <alignment/>
    </xf>
    <xf numFmtId="165" fontId="24" fillId="0" borderId="0" xfId="0" applyNumberFormat="1" applyFont="1" applyAlignment="1">
      <alignment horizontal="left"/>
    </xf>
    <xf numFmtId="165" fontId="25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5" fontId="26" fillId="0" borderId="0" xfId="0" applyNumberFormat="1" applyFont="1" applyAlignment="1">
      <alignment horizontal="left" indent="1"/>
    </xf>
    <xf numFmtId="165" fontId="26" fillId="0" borderId="0" xfId="0" applyNumberFormat="1" applyFont="1" applyAlignment="1">
      <alignment/>
    </xf>
    <xf numFmtId="165" fontId="20" fillId="0" borderId="21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left" indent="1"/>
    </xf>
    <xf numFmtId="165" fontId="27" fillId="0" borderId="0" xfId="0" applyNumberFormat="1" applyFont="1" applyAlignment="1">
      <alignment/>
    </xf>
    <xf numFmtId="165" fontId="22" fillId="0" borderId="0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/>
    </xf>
    <xf numFmtId="165" fontId="23" fillId="0" borderId="22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23" fillId="0" borderId="23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23" fillId="0" borderId="24" xfId="0" applyNumberFormat="1" applyFont="1" applyBorder="1" applyAlignment="1">
      <alignment/>
    </xf>
    <xf numFmtId="165" fontId="27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5" fontId="28" fillId="0" borderId="20" xfId="0" applyNumberFormat="1" applyFont="1" applyFill="1" applyBorder="1" applyAlignment="1">
      <alignment horizontal="center"/>
    </xf>
    <xf numFmtId="165" fontId="27" fillId="0" borderId="21" xfId="0" applyNumberFormat="1" applyFont="1" applyFill="1" applyBorder="1" applyAlignment="1">
      <alignment horizontal="left"/>
    </xf>
    <xf numFmtId="165" fontId="0" fillId="0" borderId="21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left"/>
    </xf>
    <xf numFmtId="165" fontId="23" fillId="0" borderId="21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left"/>
    </xf>
    <xf numFmtId="165" fontId="29" fillId="0" borderId="0" xfId="0" applyNumberFormat="1" applyFont="1" applyFill="1" applyBorder="1" applyAlignment="1">
      <alignment horizontal="left"/>
    </xf>
    <xf numFmtId="165" fontId="25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left" indent="1"/>
    </xf>
    <xf numFmtId="165" fontId="26" fillId="0" borderId="0" xfId="0" applyNumberFormat="1" applyFont="1" applyFill="1" applyBorder="1" applyAlignment="1">
      <alignment horizontal="center"/>
    </xf>
    <xf numFmtId="165" fontId="20" fillId="0" borderId="21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left" indent="1"/>
    </xf>
    <xf numFmtId="165" fontId="20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3" sqref="A3"/>
    </sheetView>
  </sheetViews>
  <sheetFormatPr defaultColWidth="9.00390625" defaultRowHeight="12.75"/>
  <cols>
    <col min="1" max="1" width="24.875" style="1" customWidth="1"/>
    <col min="2" max="2" width="19.1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23.37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7.125" style="1" customWidth="1"/>
  </cols>
  <sheetData>
    <row r="1" spans="1:13" s="3" customFormat="1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4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13</v>
      </c>
      <c r="B6" s="16" t="s">
        <v>14</v>
      </c>
      <c r="C6" s="16" t="s">
        <v>15</v>
      </c>
      <c r="D6" s="16">
        <f>"0,6246"</f>
        <v>0</v>
      </c>
      <c r="E6" s="16" t="s">
        <v>16</v>
      </c>
      <c r="F6" s="16" t="s">
        <v>17</v>
      </c>
      <c r="G6" s="16" t="s">
        <v>18</v>
      </c>
      <c r="H6" s="17" t="s">
        <v>19</v>
      </c>
      <c r="I6" s="17" t="s">
        <v>19</v>
      </c>
      <c r="J6" s="17"/>
      <c r="K6" s="16">
        <v>260</v>
      </c>
      <c r="L6" s="16">
        <f>"162,3960"</f>
        <v>0</v>
      </c>
      <c r="M6" s="16"/>
    </row>
    <row r="8" ht="15">
      <c r="E8" s="18" t="s">
        <v>20</v>
      </c>
    </row>
    <row r="9" ht="15">
      <c r="E9" s="18" t="s">
        <v>21</v>
      </c>
    </row>
    <row r="10" ht="15">
      <c r="E10" s="18" t="s">
        <v>22</v>
      </c>
    </row>
    <row r="11" ht="12.75">
      <c r="E11" s="1" t="s">
        <v>23</v>
      </c>
    </row>
    <row r="12" ht="12.75">
      <c r="E12" s="1" t="s">
        <v>24</v>
      </c>
    </row>
    <row r="13" ht="12.75">
      <c r="E13" s="1" t="s">
        <v>25</v>
      </c>
    </row>
    <row r="16" spans="1:2" ht="17.25">
      <c r="A16" s="19" t="s">
        <v>26</v>
      </c>
      <c r="B16" s="19"/>
    </row>
    <row r="17" spans="1:2" ht="15">
      <c r="A17" s="20" t="s">
        <v>27</v>
      </c>
      <c r="B17" s="20"/>
    </row>
    <row r="18" spans="1:2" ht="14.25">
      <c r="A18" s="21" t="s">
        <v>28</v>
      </c>
      <c r="B18" s="22"/>
    </row>
    <row r="19" spans="1:5" ht="13.5">
      <c r="A19" s="23" t="s">
        <v>1</v>
      </c>
      <c r="B19" s="23" t="s">
        <v>29</v>
      </c>
      <c r="C19" s="23" t="s">
        <v>30</v>
      </c>
      <c r="D19" s="23" t="s">
        <v>8</v>
      </c>
      <c r="E19" s="23" t="s">
        <v>31</v>
      </c>
    </row>
    <row r="20" spans="1:5" ht="12.75">
      <c r="A20" s="24" t="s">
        <v>13</v>
      </c>
      <c r="B20" s="1" t="s">
        <v>28</v>
      </c>
      <c r="C20" s="1" t="s">
        <v>32</v>
      </c>
      <c r="D20" s="1" t="s">
        <v>18</v>
      </c>
      <c r="E20" s="25" t="s">
        <v>33</v>
      </c>
    </row>
  </sheetData>
  <sheetProtection selectLockedCells="1" selectUnlockedCells="1"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C13" sqref="C13"/>
    </sheetView>
  </sheetViews>
  <sheetFormatPr defaultColWidth="9.00390625" defaultRowHeight="12.75"/>
  <cols>
    <col min="1" max="1" width="24.875" style="1" customWidth="1"/>
    <col min="2" max="2" width="26.25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24.6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7.125" style="1" customWidth="1"/>
  </cols>
  <sheetData>
    <row r="1" spans="1:13" s="3" customFormat="1" ht="15" customHeight="1">
      <c r="A1" s="2" t="s">
        <v>451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7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167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84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452</v>
      </c>
      <c r="B6" s="16" t="s">
        <v>453</v>
      </c>
      <c r="C6" s="16" t="s">
        <v>231</v>
      </c>
      <c r="D6" s="16">
        <f>"0,6165"</f>
        <v>0</v>
      </c>
      <c r="E6" s="16" t="s">
        <v>16</v>
      </c>
      <c r="F6" s="16" t="s">
        <v>46</v>
      </c>
      <c r="G6" s="16" t="s">
        <v>83</v>
      </c>
      <c r="H6" s="17" t="s">
        <v>454</v>
      </c>
      <c r="I6" s="17" t="s">
        <v>454</v>
      </c>
      <c r="J6" s="17"/>
      <c r="K6" s="16">
        <v>245</v>
      </c>
      <c r="L6" s="16">
        <f>"151,0303"</f>
        <v>0</v>
      </c>
      <c r="M6" s="16"/>
    </row>
    <row r="8" spans="1:12" ht="15">
      <c r="A8" s="26" t="s">
        <v>101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 ht="12.75">
      <c r="A9" s="16" t="s">
        <v>455</v>
      </c>
      <c r="B9" s="16" t="s">
        <v>456</v>
      </c>
      <c r="C9" s="16" t="s">
        <v>457</v>
      </c>
      <c r="D9" s="16">
        <f>"0,5882"</f>
        <v>0</v>
      </c>
      <c r="E9" s="16" t="s">
        <v>16</v>
      </c>
      <c r="F9" s="16" t="s">
        <v>458</v>
      </c>
      <c r="G9" s="16" t="s">
        <v>67</v>
      </c>
      <c r="H9" s="17" t="s">
        <v>60</v>
      </c>
      <c r="I9" s="16" t="s">
        <v>60</v>
      </c>
      <c r="J9" s="17"/>
      <c r="K9" s="16">
        <v>195</v>
      </c>
      <c r="L9" s="16">
        <f>"114,7087"</f>
        <v>0</v>
      </c>
      <c r="M9" s="16"/>
    </row>
    <row r="11" spans="1:12" ht="15">
      <c r="A11" s="26" t="s">
        <v>152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3" ht="12.75">
      <c r="A12" s="16" t="s">
        <v>459</v>
      </c>
      <c r="B12" s="16" t="s">
        <v>460</v>
      </c>
      <c r="C12" s="16" t="s">
        <v>461</v>
      </c>
      <c r="D12" s="16">
        <f>"0,5591"</f>
        <v>0</v>
      </c>
      <c r="E12" s="16" t="s">
        <v>16</v>
      </c>
      <c r="F12" s="16" t="s">
        <v>17</v>
      </c>
      <c r="G12" s="16" t="s">
        <v>110</v>
      </c>
      <c r="H12" s="16" t="s">
        <v>462</v>
      </c>
      <c r="I12" s="17" t="s">
        <v>463</v>
      </c>
      <c r="J12" s="17"/>
      <c r="K12" s="16">
        <v>300</v>
      </c>
      <c r="L12" s="16">
        <f>"167,7450"</f>
        <v>0</v>
      </c>
      <c r="M12" s="16"/>
    </row>
    <row r="14" ht="15">
      <c r="E14" s="18" t="s">
        <v>20</v>
      </c>
    </row>
    <row r="15" ht="15">
      <c r="E15" s="18" t="s">
        <v>21</v>
      </c>
    </row>
    <row r="16" ht="15">
      <c r="E16" s="18" t="s">
        <v>22</v>
      </c>
    </row>
    <row r="17" ht="12.75">
      <c r="E17" s="1" t="s">
        <v>23</v>
      </c>
    </row>
    <row r="18" ht="12.75">
      <c r="E18" s="1" t="s">
        <v>24</v>
      </c>
    </row>
    <row r="19" ht="12.75">
      <c r="E19" s="1" t="s">
        <v>25</v>
      </c>
    </row>
    <row r="22" spans="1:2" ht="17.25">
      <c r="A22" s="19" t="s">
        <v>26</v>
      </c>
      <c r="B22" s="19"/>
    </row>
    <row r="23" spans="1:2" ht="15">
      <c r="A23" s="20" t="s">
        <v>27</v>
      </c>
      <c r="B23" s="20"/>
    </row>
    <row r="24" spans="1:2" ht="14.25">
      <c r="A24" s="21" t="s">
        <v>127</v>
      </c>
      <c r="B24" s="22"/>
    </row>
    <row r="25" spans="1:5" ht="13.5">
      <c r="A25" s="23" t="s">
        <v>1</v>
      </c>
      <c r="B25" s="23" t="s">
        <v>29</v>
      </c>
      <c r="C25" s="23" t="s">
        <v>30</v>
      </c>
      <c r="D25" s="23" t="s">
        <v>8</v>
      </c>
      <c r="E25" s="23" t="s">
        <v>31</v>
      </c>
    </row>
    <row r="26" spans="1:5" ht="12.75">
      <c r="A26" s="24" t="s">
        <v>455</v>
      </c>
      <c r="B26" s="1" t="s">
        <v>128</v>
      </c>
      <c r="C26" s="1" t="s">
        <v>139</v>
      </c>
      <c r="D26" s="1" t="s">
        <v>60</v>
      </c>
      <c r="E26" s="25" t="s">
        <v>464</v>
      </c>
    </row>
    <row r="28" spans="1:2" ht="14.25">
      <c r="A28" s="21" t="s">
        <v>28</v>
      </c>
      <c r="B28" s="22"/>
    </row>
    <row r="29" spans="1:5" ht="13.5">
      <c r="A29" s="23" t="s">
        <v>1</v>
      </c>
      <c r="B29" s="23" t="s">
        <v>29</v>
      </c>
      <c r="C29" s="23" t="s">
        <v>30</v>
      </c>
      <c r="D29" s="23" t="s">
        <v>8</v>
      </c>
      <c r="E29" s="23" t="s">
        <v>31</v>
      </c>
    </row>
    <row r="30" spans="1:5" ht="12.75">
      <c r="A30" s="24" t="s">
        <v>459</v>
      </c>
      <c r="B30" s="1" t="s">
        <v>28</v>
      </c>
      <c r="C30" s="1" t="s">
        <v>162</v>
      </c>
      <c r="D30" s="1" t="s">
        <v>465</v>
      </c>
      <c r="E30" s="25" t="s">
        <v>466</v>
      </c>
    </row>
    <row r="31" spans="1:5" ht="12.75">
      <c r="A31" s="24" t="s">
        <v>452</v>
      </c>
      <c r="B31" s="1" t="s">
        <v>28</v>
      </c>
      <c r="C31" s="1" t="s">
        <v>125</v>
      </c>
      <c r="D31" s="1" t="s">
        <v>83</v>
      </c>
      <c r="E31" s="25" t="s">
        <v>467</v>
      </c>
    </row>
  </sheetData>
  <sheetProtection selectLockedCells="1" selectUnlockedCells="1"/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31.125" style="1" customWidth="1"/>
    <col min="7" max="7" width="5.50390625" style="1" customWidth="1"/>
    <col min="8" max="8" width="7.375" style="1" customWidth="1"/>
    <col min="9" max="9" width="2.125" style="1" customWidth="1"/>
    <col min="10" max="10" width="4.50390625" style="1" customWidth="1"/>
    <col min="11" max="11" width="6.375" style="1" customWidth="1"/>
    <col min="12" max="12" width="9.50390625" style="1" customWidth="1"/>
    <col min="13" max="13" width="7.125" style="1" customWidth="1"/>
  </cols>
  <sheetData>
    <row r="1" spans="1:13" s="3" customFormat="1" ht="15" customHeight="1">
      <c r="A1" s="2" t="s">
        <v>468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7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469</v>
      </c>
      <c r="C3" s="5" t="s">
        <v>3</v>
      </c>
      <c r="D3" s="6" t="s">
        <v>4</v>
      </c>
      <c r="E3" s="6" t="s">
        <v>5</v>
      </c>
      <c r="F3" s="7" t="s">
        <v>6</v>
      </c>
      <c r="G3" s="51" t="s">
        <v>167</v>
      </c>
      <c r="H3" s="51"/>
      <c r="I3" s="51"/>
      <c r="J3" s="51"/>
      <c r="K3" s="6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3" t="s">
        <v>470</v>
      </c>
      <c r="H4" s="13" t="s">
        <v>471</v>
      </c>
      <c r="I4" s="13">
        <v>3</v>
      </c>
      <c r="J4" s="14" t="s">
        <v>11</v>
      </c>
      <c r="K4" s="6"/>
      <c r="L4" s="6"/>
      <c r="M4" s="10"/>
    </row>
    <row r="5" spans="1:12" ht="15">
      <c r="A5" s="15" t="s">
        <v>42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147</v>
      </c>
      <c r="B6" s="16" t="s">
        <v>148</v>
      </c>
      <c r="C6" s="16" t="s">
        <v>149</v>
      </c>
      <c r="D6" s="16">
        <f>"0,7733"</f>
        <v>0</v>
      </c>
      <c r="E6" s="16" t="s">
        <v>16</v>
      </c>
      <c r="F6" s="16" t="s">
        <v>46</v>
      </c>
      <c r="G6" s="16" t="s">
        <v>327</v>
      </c>
      <c r="H6" s="16" t="s">
        <v>472</v>
      </c>
      <c r="I6" s="17"/>
      <c r="J6" s="17"/>
      <c r="K6" s="16">
        <v>2275</v>
      </c>
      <c r="L6" s="16">
        <f>"1759,2575"</f>
        <v>0</v>
      </c>
      <c r="M6" s="16"/>
    </row>
    <row r="8" spans="1:12" ht="15">
      <c r="A8" s="26" t="s">
        <v>50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 ht="12.75">
      <c r="A9" s="27" t="s">
        <v>473</v>
      </c>
      <c r="B9" s="27" t="s">
        <v>474</v>
      </c>
      <c r="C9" s="27" t="s">
        <v>192</v>
      </c>
      <c r="D9" s="27">
        <f>"0,6885"</f>
        <v>0</v>
      </c>
      <c r="E9" s="27" t="s">
        <v>16</v>
      </c>
      <c r="F9" s="27" t="s">
        <v>475</v>
      </c>
      <c r="G9" s="27" t="s">
        <v>172</v>
      </c>
      <c r="H9" s="27" t="s">
        <v>472</v>
      </c>
      <c r="I9" s="28"/>
      <c r="J9" s="28"/>
      <c r="K9" s="27">
        <v>2625</v>
      </c>
      <c r="L9" s="27">
        <f>"1807,4437"</f>
        <v>0</v>
      </c>
      <c r="M9" s="27"/>
    </row>
    <row r="10" spans="1:13" ht="12.75">
      <c r="A10" s="31" t="s">
        <v>476</v>
      </c>
      <c r="B10" s="31" t="s">
        <v>477</v>
      </c>
      <c r="C10" s="31" t="s">
        <v>478</v>
      </c>
      <c r="D10" s="31">
        <f>"0,7395"</f>
        <v>0</v>
      </c>
      <c r="E10" s="31" t="s">
        <v>16</v>
      </c>
      <c r="F10" s="31" t="s">
        <v>479</v>
      </c>
      <c r="G10" s="31" t="s">
        <v>171</v>
      </c>
      <c r="H10" s="31" t="s">
        <v>472</v>
      </c>
      <c r="I10" s="32"/>
      <c r="J10" s="32"/>
      <c r="K10" s="31">
        <v>2450</v>
      </c>
      <c r="L10" s="31">
        <f>"1811,8290"</f>
        <v>0</v>
      </c>
      <c r="M10" s="31"/>
    </row>
    <row r="12" spans="1:12" ht="15">
      <c r="A12" s="26" t="s">
        <v>12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3" ht="12.75">
      <c r="A13" s="27" t="s">
        <v>480</v>
      </c>
      <c r="B13" s="27" t="s">
        <v>481</v>
      </c>
      <c r="C13" s="27" t="s">
        <v>482</v>
      </c>
      <c r="D13" s="27">
        <f>"0,6641"</f>
        <v>0</v>
      </c>
      <c r="E13" s="27" t="s">
        <v>16</v>
      </c>
      <c r="F13" s="27" t="s">
        <v>225</v>
      </c>
      <c r="G13" s="27" t="s">
        <v>438</v>
      </c>
      <c r="H13" s="27" t="s">
        <v>330</v>
      </c>
      <c r="I13" s="28"/>
      <c r="J13" s="28"/>
      <c r="K13" s="27">
        <v>3600</v>
      </c>
      <c r="L13" s="27">
        <f>"2390,7600"</f>
        <v>0</v>
      </c>
      <c r="M13" s="27"/>
    </row>
    <row r="14" spans="1:13" ht="12.75">
      <c r="A14" s="29" t="s">
        <v>483</v>
      </c>
      <c r="B14" s="29" t="s">
        <v>484</v>
      </c>
      <c r="C14" s="29" t="s">
        <v>485</v>
      </c>
      <c r="D14" s="29">
        <f>"0,6606"</f>
        <v>0</v>
      </c>
      <c r="E14" s="29" t="s">
        <v>16</v>
      </c>
      <c r="F14" s="29" t="s">
        <v>225</v>
      </c>
      <c r="G14" s="29" t="s">
        <v>438</v>
      </c>
      <c r="H14" s="29" t="s">
        <v>486</v>
      </c>
      <c r="I14" s="30"/>
      <c r="J14" s="30"/>
      <c r="K14" s="29">
        <v>3040</v>
      </c>
      <c r="L14" s="29">
        <f>"2008,2240"</f>
        <v>0</v>
      </c>
      <c r="M14" s="29"/>
    </row>
    <row r="15" spans="1:13" ht="12.75">
      <c r="A15" s="31" t="s">
        <v>487</v>
      </c>
      <c r="B15" s="31" t="s">
        <v>400</v>
      </c>
      <c r="C15" s="31" t="s">
        <v>401</v>
      </c>
      <c r="D15" s="31">
        <f>"0,6629"</f>
        <v>0</v>
      </c>
      <c r="E15" s="31" t="s">
        <v>16</v>
      </c>
      <c r="F15" s="31" t="s">
        <v>17</v>
      </c>
      <c r="G15" s="31" t="s">
        <v>438</v>
      </c>
      <c r="H15" s="31" t="s">
        <v>338</v>
      </c>
      <c r="I15" s="32"/>
      <c r="J15" s="32"/>
      <c r="K15" s="31">
        <v>2400</v>
      </c>
      <c r="L15" s="31">
        <f>"1590,9599"</f>
        <v>0</v>
      </c>
      <c r="M15" s="31"/>
    </row>
    <row r="17" spans="1:12" ht="15">
      <c r="A17" s="26" t="s">
        <v>101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3" ht="12.75">
      <c r="A18" s="16" t="s">
        <v>488</v>
      </c>
      <c r="B18" s="16" t="s">
        <v>489</v>
      </c>
      <c r="C18" s="16" t="s">
        <v>490</v>
      </c>
      <c r="D18" s="16">
        <f>"0,5936"</f>
        <v>0</v>
      </c>
      <c r="E18" s="16" t="s">
        <v>16</v>
      </c>
      <c r="F18" s="16" t="s">
        <v>161</v>
      </c>
      <c r="G18" s="16" t="s">
        <v>491</v>
      </c>
      <c r="H18" s="16" t="s">
        <v>492</v>
      </c>
      <c r="I18" s="17"/>
      <c r="J18" s="17"/>
      <c r="K18" s="16">
        <v>2827.5</v>
      </c>
      <c r="L18" s="16">
        <f>"1678,4818"</f>
        <v>0</v>
      </c>
      <c r="M18" s="16"/>
    </row>
    <row r="20" spans="1:12" ht="15">
      <c r="A20" s="26" t="s">
        <v>105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3" ht="12.75">
      <c r="A21" s="16" t="s">
        <v>421</v>
      </c>
      <c r="B21" s="16" t="s">
        <v>422</v>
      </c>
      <c r="C21" s="16" t="s">
        <v>423</v>
      </c>
      <c r="D21" s="16">
        <f>"0,6550"</f>
        <v>0</v>
      </c>
      <c r="E21" s="16" t="s">
        <v>16</v>
      </c>
      <c r="F21" s="16" t="s">
        <v>241</v>
      </c>
      <c r="G21" s="16" t="s">
        <v>279</v>
      </c>
      <c r="H21" s="16" t="s">
        <v>493</v>
      </c>
      <c r="I21" s="17"/>
      <c r="J21" s="17"/>
      <c r="K21" s="16">
        <v>2310</v>
      </c>
      <c r="L21" s="16">
        <f>"1513,0369"</f>
        <v>0</v>
      </c>
      <c r="M21" s="16"/>
    </row>
    <row r="23" ht="15">
      <c r="E23" s="18" t="s">
        <v>20</v>
      </c>
    </row>
    <row r="24" ht="15">
      <c r="E24" s="18" t="s">
        <v>21</v>
      </c>
    </row>
    <row r="25" ht="15">
      <c r="E25" s="18" t="s">
        <v>22</v>
      </c>
    </row>
    <row r="26" ht="12.75">
      <c r="E26" s="1" t="s">
        <v>23</v>
      </c>
    </row>
    <row r="27" ht="12.75">
      <c r="E27" s="1" t="s">
        <v>24</v>
      </c>
    </row>
    <row r="28" ht="12.75">
      <c r="E28" s="1" t="s">
        <v>25</v>
      </c>
    </row>
    <row r="31" spans="1:2" ht="17.25">
      <c r="A31" s="19" t="s">
        <v>26</v>
      </c>
      <c r="B31" s="19"/>
    </row>
    <row r="32" spans="1:2" ht="15">
      <c r="A32" s="20" t="s">
        <v>27</v>
      </c>
      <c r="B32" s="20"/>
    </row>
    <row r="33" spans="1:2" ht="14.25">
      <c r="A33" s="21" t="s">
        <v>28</v>
      </c>
      <c r="B33" s="22"/>
    </row>
    <row r="34" spans="1:5" ht="13.5">
      <c r="A34" s="23" t="s">
        <v>1</v>
      </c>
      <c r="B34" s="23" t="s">
        <v>29</v>
      </c>
      <c r="C34" s="23" t="s">
        <v>30</v>
      </c>
      <c r="D34" s="23" t="s">
        <v>8</v>
      </c>
      <c r="E34" s="23" t="s">
        <v>31</v>
      </c>
    </row>
    <row r="35" spans="1:5" ht="12.75">
      <c r="A35" s="24" t="s">
        <v>480</v>
      </c>
      <c r="B35" s="1" t="s">
        <v>28</v>
      </c>
      <c r="C35" s="1" t="s">
        <v>32</v>
      </c>
      <c r="D35" s="1" t="s">
        <v>494</v>
      </c>
      <c r="E35" s="25" t="s">
        <v>495</v>
      </c>
    </row>
    <row r="36" spans="1:5" ht="12.75">
      <c r="A36" s="24" t="s">
        <v>483</v>
      </c>
      <c r="B36" s="1" t="s">
        <v>28</v>
      </c>
      <c r="C36" s="1" t="s">
        <v>32</v>
      </c>
      <c r="D36" s="1" t="s">
        <v>496</v>
      </c>
      <c r="E36" s="25" t="s">
        <v>497</v>
      </c>
    </row>
    <row r="37" spans="1:5" ht="12.75">
      <c r="A37" s="24" t="s">
        <v>473</v>
      </c>
      <c r="B37" s="1" t="s">
        <v>28</v>
      </c>
      <c r="C37" s="1" t="s">
        <v>131</v>
      </c>
      <c r="D37" s="1" t="s">
        <v>498</v>
      </c>
      <c r="E37" s="25" t="s">
        <v>499</v>
      </c>
    </row>
    <row r="38" spans="1:5" ht="12.75">
      <c r="A38" s="24" t="s">
        <v>147</v>
      </c>
      <c r="B38" s="1" t="s">
        <v>28</v>
      </c>
      <c r="C38" s="1" t="s">
        <v>129</v>
      </c>
      <c r="D38" s="1" t="s">
        <v>500</v>
      </c>
      <c r="E38" s="25" t="s">
        <v>501</v>
      </c>
    </row>
    <row r="39" spans="1:5" ht="12.75">
      <c r="A39" s="24" t="s">
        <v>487</v>
      </c>
      <c r="B39" s="1" t="s">
        <v>28</v>
      </c>
      <c r="C39" s="1" t="s">
        <v>32</v>
      </c>
      <c r="D39" s="1" t="s">
        <v>502</v>
      </c>
      <c r="E39" s="25" t="s">
        <v>503</v>
      </c>
    </row>
    <row r="41" spans="1:2" ht="14.25">
      <c r="A41" s="21" t="s">
        <v>141</v>
      </c>
      <c r="B41" s="22"/>
    </row>
    <row r="42" spans="1:5" ht="13.5">
      <c r="A42" s="23" t="s">
        <v>1</v>
      </c>
      <c r="B42" s="23" t="s">
        <v>29</v>
      </c>
      <c r="C42" s="23" t="s">
        <v>30</v>
      </c>
      <c r="D42" s="23" t="s">
        <v>8</v>
      </c>
      <c r="E42" s="23" t="s">
        <v>31</v>
      </c>
    </row>
    <row r="43" spans="1:5" ht="12.75">
      <c r="A43" s="24" t="s">
        <v>476</v>
      </c>
      <c r="B43" s="1" t="s">
        <v>144</v>
      </c>
      <c r="C43" s="1" t="s">
        <v>131</v>
      </c>
      <c r="D43" s="1" t="s">
        <v>504</v>
      </c>
      <c r="E43" s="25" t="s">
        <v>505</v>
      </c>
    </row>
    <row r="44" spans="1:5" ht="12.75">
      <c r="A44" s="24" t="s">
        <v>488</v>
      </c>
      <c r="B44" s="1" t="s">
        <v>144</v>
      </c>
      <c r="C44" s="1" t="s">
        <v>139</v>
      </c>
      <c r="D44" s="1" t="s">
        <v>506</v>
      </c>
      <c r="E44" s="25" t="s">
        <v>507</v>
      </c>
    </row>
    <row r="45" spans="1:5" ht="12.75">
      <c r="A45" s="24" t="s">
        <v>421</v>
      </c>
      <c r="B45" s="1" t="s">
        <v>164</v>
      </c>
      <c r="C45" s="1" t="s">
        <v>133</v>
      </c>
      <c r="D45" s="1" t="s">
        <v>508</v>
      </c>
      <c r="E45" s="25" t="s">
        <v>509</v>
      </c>
    </row>
  </sheetData>
  <sheetProtection selectLockedCells="1" selectUnlockedCells="1"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2:L12"/>
    <mergeCell ref="A17:L17"/>
    <mergeCell ref="A20:L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8" sqref="A8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32.00390625" style="1" customWidth="1"/>
    <col min="7" max="7" width="5.50390625" style="1" customWidth="1"/>
    <col min="8" max="8" width="7.375" style="1" customWidth="1"/>
    <col min="9" max="9" width="2.125" style="1" customWidth="1"/>
    <col min="10" max="10" width="4.50390625" style="1" customWidth="1"/>
    <col min="11" max="11" width="6.375" style="1" customWidth="1"/>
    <col min="12" max="12" width="9.50390625" style="1" customWidth="1"/>
    <col min="13" max="13" width="12.625" style="1" customWidth="1"/>
  </cols>
  <sheetData>
    <row r="1" spans="1:13" s="3" customFormat="1" ht="15" customHeight="1">
      <c r="A1" s="2" t="s">
        <v>510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8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469</v>
      </c>
      <c r="C3" s="5" t="s">
        <v>3</v>
      </c>
      <c r="D3" s="6" t="s">
        <v>4</v>
      </c>
      <c r="E3" s="6" t="s">
        <v>5</v>
      </c>
      <c r="F3" s="7" t="s">
        <v>6</v>
      </c>
      <c r="G3" s="51" t="s">
        <v>167</v>
      </c>
      <c r="H3" s="51"/>
      <c r="I3" s="51"/>
      <c r="J3" s="51"/>
      <c r="K3" s="6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3" t="s">
        <v>470</v>
      </c>
      <c r="H4" s="13" t="s">
        <v>471</v>
      </c>
      <c r="I4" s="13">
        <v>3</v>
      </c>
      <c r="J4" s="14" t="s">
        <v>11</v>
      </c>
      <c r="K4" s="6"/>
      <c r="L4" s="6"/>
      <c r="M4" s="10"/>
    </row>
    <row r="5" spans="1:12" ht="15">
      <c r="A5" s="15" t="s">
        <v>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511</v>
      </c>
      <c r="B6" s="16" t="s">
        <v>512</v>
      </c>
      <c r="C6" s="16" t="s">
        <v>513</v>
      </c>
      <c r="D6" s="16">
        <f>"1,2051"</f>
        <v>0</v>
      </c>
      <c r="E6" s="16" t="s">
        <v>16</v>
      </c>
      <c r="F6" s="16" t="s">
        <v>46</v>
      </c>
      <c r="G6" s="16" t="s">
        <v>322</v>
      </c>
      <c r="H6" s="16" t="s">
        <v>514</v>
      </c>
      <c r="I6" s="17"/>
      <c r="J6" s="17"/>
      <c r="K6" s="16">
        <v>1000</v>
      </c>
      <c r="L6" s="16">
        <f>"1205,1265"</f>
        <v>0</v>
      </c>
      <c r="M6" s="16" t="s">
        <v>515</v>
      </c>
    </row>
    <row r="8" spans="1:12" ht="15">
      <c r="A8" s="26" t="s">
        <v>50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 ht="12.75">
      <c r="A9" s="27" t="s">
        <v>185</v>
      </c>
      <c r="B9" s="27" t="s">
        <v>186</v>
      </c>
      <c r="C9" s="27" t="s">
        <v>187</v>
      </c>
      <c r="D9" s="27">
        <f>"0,6983"</f>
        <v>0</v>
      </c>
      <c r="E9" s="27" t="s">
        <v>16</v>
      </c>
      <c r="F9" s="27" t="s">
        <v>188</v>
      </c>
      <c r="G9" s="27" t="s">
        <v>172</v>
      </c>
      <c r="H9" s="27" t="s">
        <v>516</v>
      </c>
      <c r="I9" s="28"/>
      <c r="J9" s="28"/>
      <c r="K9" s="27">
        <v>1425</v>
      </c>
      <c r="L9" s="27">
        <f>"995,0775"</f>
        <v>0</v>
      </c>
      <c r="M9" s="27"/>
    </row>
    <row r="10" spans="1:13" ht="12.75">
      <c r="A10" s="29" t="s">
        <v>517</v>
      </c>
      <c r="B10" s="29" t="s">
        <v>518</v>
      </c>
      <c r="C10" s="29" t="s">
        <v>519</v>
      </c>
      <c r="D10" s="29">
        <f>"0,6962"</f>
        <v>0</v>
      </c>
      <c r="E10" s="29" t="s">
        <v>520</v>
      </c>
      <c r="F10" s="29" t="s">
        <v>241</v>
      </c>
      <c r="G10" s="29" t="s">
        <v>172</v>
      </c>
      <c r="H10" s="29" t="s">
        <v>521</v>
      </c>
      <c r="I10" s="30"/>
      <c r="J10" s="30"/>
      <c r="K10" s="29">
        <v>4275</v>
      </c>
      <c r="L10" s="29">
        <f>"2976,0413"</f>
        <v>0</v>
      </c>
      <c r="M10" s="29"/>
    </row>
    <row r="11" spans="1:13" ht="12.75">
      <c r="A11" s="29" t="s">
        <v>522</v>
      </c>
      <c r="B11" s="29" t="s">
        <v>523</v>
      </c>
      <c r="C11" s="29" t="s">
        <v>524</v>
      </c>
      <c r="D11" s="29">
        <f>"0,7212"</f>
        <v>0</v>
      </c>
      <c r="E11" s="29" t="s">
        <v>16</v>
      </c>
      <c r="F11" s="29" t="s">
        <v>46</v>
      </c>
      <c r="G11" s="29" t="s">
        <v>328</v>
      </c>
      <c r="H11" s="29" t="s">
        <v>330</v>
      </c>
      <c r="I11" s="30"/>
      <c r="J11" s="30"/>
      <c r="K11" s="29">
        <v>3262.5</v>
      </c>
      <c r="L11" s="29">
        <f>"2353,0781"</f>
        <v>0</v>
      </c>
      <c r="M11" s="29"/>
    </row>
    <row r="12" spans="1:13" ht="12.75">
      <c r="A12" s="31" t="s">
        <v>56</v>
      </c>
      <c r="B12" s="31" t="s">
        <v>57</v>
      </c>
      <c r="C12" s="31" t="s">
        <v>58</v>
      </c>
      <c r="D12" s="31">
        <f>"0,6899"</f>
        <v>0</v>
      </c>
      <c r="E12" s="31" t="s">
        <v>16</v>
      </c>
      <c r="F12" s="31" t="s">
        <v>59</v>
      </c>
      <c r="G12" s="31" t="s">
        <v>172</v>
      </c>
      <c r="H12" s="31" t="s">
        <v>525</v>
      </c>
      <c r="I12" s="32"/>
      <c r="J12" s="32"/>
      <c r="K12" s="31">
        <v>2100</v>
      </c>
      <c r="L12" s="31">
        <f>"1448,7900"</f>
        <v>0</v>
      </c>
      <c r="M12" s="31"/>
    </row>
    <row r="14" spans="1:12" ht="15">
      <c r="A14" s="26" t="s">
        <v>12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3" ht="12.75">
      <c r="A15" s="27" t="s">
        <v>526</v>
      </c>
      <c r="B15" s="27" t="s">
        <v>527</v>
      </c>
      <c r="C15" s="27" t="s">
        <v>528</v>
      </c>
      <c r="D15" s="27">
        <f>"0,6535"</f>
        <v>0</v>
      </c>
      <c r="E15" s="27" t="s">
        <v>16</v>
      </c>
      <c r="F15" s="27" t="s">
        <v>225</v>
      </c>
      <c r="G15" s="27" t="s">
        <v>529</v>
      </c>
      <c r="H15" s="27" t="s">
        <v>530</v>
      </c>
      <c r="I15" s="28"/>
      <c r="J15" s="28"/>
      <c r="K15" s="27">
        <v>2722.5</v>
      </c>
      <c r="L15" s="27">
        <f>"1779,0177"</f>
        <v>0</v>
      </c>
      <c r="M15" s="27"/>
    </row>
    <row r="16" spans="1:13" ht="12.75">
      <c r="A16" s="31" t="s">
        <v>226</v>
      </c>
      <c r="B16" s="31" t="s">
        <v>227</v>
      </c>
      <c r="C16" s="31" t="s">
        <v>15</v>
      </c>
      <c r="D16" s="31">
        <f>"0,6497"</f>
        <v>0</v>
      </c>
      <c r="E16" s="31" t="s">
        <v>16</v>
      </c>
      <c r="F16" s="31" t="s">
        <v>209</v>
      </c>
      <c r="G16" s="31" t="s">
        <v>529</v>
      </c>
      <c r="H16" s="31" t="s">
        <v>531</v>
      </c>
      <c r="I16" s="32"/>
      <c r="J16" s="32"/>
      <c r="K16" s="31">
        <v>1155</v>
      </c>
      <c r="L16" s="31">
        <f>"750,4612"</f>
        <v>0</v>
      </c>
      <c r="M16" s="31"/>
    </row>
    <row r="18" spans="1:12" ht="15">
      <c r="A18" s="26" t="s">
        <v>84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3" ht="12.75">
      <c r="A19" s="16" t="s">
        <v>88</v>
      </c>
      <c r="B19" s="16" t="s">
        <v>89</v>
      </c>
      <c r="C19" s="16" t="s">
        <v>90</v>
      </c>
      <c r="D19" s="16">
        <f>"0,6251"</f>
        <v>0</v>
      </c>
      <c r="E19" s="16" t="s">
        <v>16</v>
      </c>
      <c r="F19" s="16" t="s">
        <v>91</v>
      </c>
      <c r="G19" s="16" t="s">
        <v>532</v>
      </c>
      <c r="H19" s="16" t="s">
        <v>533</v>
      </c>
      <c r="I19" s="17"/>
      <c r="J19" s="17"/>
      <c r="K19" s="16">
        <v>2712.5</v>
      </c>
      <c r="L19" s="16">
        <f>"1695,5838"</f>
        <v>0</v>
      </c>
      <c r="M19" s="16"/>
    </row>
    <row r="21" spans="1:12" ht="15">
      <c r="A21" s="26" t="s">
        <v>105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3" ht="12.75">
      <c r="A22" s="27" t="s">
        <v>534</v>
      </c>
      <c r="B22" s="27" t="s">
        <v>535</v>
      </c>
      <c r="C22" s="27" t="s">
        <v>536</v>
      </c>
      <c r="D22" s="27">
        <f>"0,5769"</f>
        <v>0</v>
      </c>
      <c r="E22" s="27" t="s">
        <v>16</v>
      </c>
      <c r="F22" s="27" t="s">
        <v>46</v>
      </c>
      <c r="G22" s="27" t="s">
        <v>357</v>
      </c>
      <c r="H22" s="27" t="s">
        <v>530</v>
      </c>
      <c r="I22" s="28"/>
      <c r="J22" s="28"/>
      <c r="K22" s="27">
        <v>3382.5</v>
      </c>
      <c r="L22" s="27">
        <f>"1951,3643"</f>
        <v>0</v>
      </c>
      <c r="M22" s="27"/>
    </row>
    <row r="23" spans="1:13" ht="12.75">
      <c r="A23" s="31" t="s">
        <v>252</v>
      </c>
      <c r="B23" s="31" t="s">
        <v>253</v>
      </c>
      <c r="C23" s="31" t="s">
        <v>254</v>
      </c>
      <c r="D23" s="31">
        <f>"0,5782"</f>
        <v>0</v>
      </c>
      <c r="E23" s="31" t="s">
        <v>520</v>
      </c>
      <c r="F23" s="31" t="s">
        <v>241</v>
      </c>
      <c r="G23" s="31" t="s">
        <v>357</v>
      </c>
      <c r="H23" s="31" t="s">
        <v>338</v>
      </c>
      <c r="I23" s="32"/>
      <c r="J23" s="32"/>
      <c r="K23" s="31">
        <v>3075</v>
      </c>
      <c r="L23" s="31">
        <f>"1778,1187"</f>
        <v>0</v>
      </c>
      <c r="M23" s="31"/>
    </row>
    <row r="25" ht="15">
      <c r="E25" s="18" t="s">
        <v>20</v>
      </c>
    </row>
    <row r="26" ht="15">
      <c r="E26" s="18" t="s">
        <v>21</v>
      </c>
    </row>
    <row r="27" ht="15">
      <c r="E27" s="18" t="s">
        <v>22</v>
      </c>
    </row>
    <row r="28" ht="12.75">
      <c r="E28" s="1" t="s">
        <v>23</v>
      </c>
    </row>
    <row r="29" ht="12.75">
      <c r="E29" s="1" t="s">
        <v>24</v>
      </c>
    </row>
    <row r="30" ht="12.75">
      <c r="E30" s="1" t="s">
        <v>25</v>
      </c>
    </row>
    <row r="33" spans="1:2" ht="17.25">
      <c r="A33" s="19" t="s">
        <v>26</v>
      </c>
      <c r="B33" s="19"/>
    </row>
    <row r="34" spans="1:2" ht="15">
      <c r="A34" s="20" t="s">
        <v>285</v>
      </c>
      <c r="B34" s="20"/>
    </row>
    <row r="35" spans="1:2" ht="14.25">
      <c r="A35" s="21" t="s">
        <v>141</v>
      </c>
      <c r="B35" s="22"/>
    </row>
    <row r="36" spans="1:5" ht="13.5">
      <c r="A36" s="23" t="s">
        <v>1</v>
      </c>
      <c r="B36" s="23" t="s">
        <v>29</v>
      </c>
      <c r="C36" s="23" t="s">
        <v>30</v>
      </c>
      <c r="D36" s="23" t="s">
        <v>8</v>
      </c>
      <c r="E36" s="23" t="s">
        <v>31</v>
      </c>
    </row>
    <row r="37" spans="1:5" ht="12.75">
      <c r="A37" s="24" t="s">
        <v>511</v>
      </c>
      <c r="B37" s="1" t="s">
        <v>306</v>
      </c>
      <c r="C37" s="1" t="s">
        <v>286</v>
      </c>
      <c r="D37" s="1" t="s">
        <v>537</v>
      </c>
      <c r="E37" s="25" t="s">
        <v>538</v>
      </c>
    </row>
    <row r="40" spans="1:2" ht="15">
      <c r="A40" s="20" t="s">
        <v>27</v>
      </c>
      <c r="B40" s="20"/>
    </row>
    <row r="41" spans="1:2" ht="14.25">
      <c r="A41" s="21" t="s">
        <v>122</v>
      </c>
      <c r="B41" s="22"/>
    </row>
    <row r="42" spans="1:5" ht="13.5">
      <c r="A42" s="23" t="s">
        <v>1</v>
      </c>
      <c r="B42" s="23" t="s">
        <v>29</v>
      </c>
      <c r="C42" s="23" t="s">
        <v>30</v>
      </c>
      <c r="D42" s="23" t="s">
        <v>8</v>
      </c>
      <c r="E42" s="23" t="s">
        <v>31</v>
      </c>
    </row>
    <row r="43" spans="1:5" ht="12.75">
      <c r="A43" s="24" t="s">
        <v>185</v>
      </c>
      <c r="B43" s="1" t="s">
        <v>123</v>
      </c>
      <c r="C43" s="1" t="s">
        <v>131</v>
      </c>
      <c r="D43" s="1" t="s">
        <v>539</v>
      </c>
      <c r="E43" s="25" t="s">
        <v>540</v>
      </c>
    </row>
    <row r="45" spans="1:2" ht="14.25">
      <c r="A45" s="21" t="s">
        <v>28</v>
      </c>
      <c r="B45" s="22"/>
    </row>
    <row r="46" spans="1:5" ht="13.5">
      <c r="A46" s="23" t="s">
        <v>1</v>
      </c>
      <c r="B46" s="23" t="s">
        <v>29</v>
      </c>
      <c r="C46" s="23" t="s">
        <v>30</v>
      </c>
      <c r="D46" s="23" t="s">
        <v>8</v>
      </c>
      <c r="E46" s="23" t="s">
        <v>31</v>
      </c>
    </row>
    <row r="47" spans="1:5" ht="12.75">
      <c r="A47" s="24" t="s">
        <v>517</v>
      </c>
      <c r="B47" s="1" t="s">
        <v>28</v>
      </c>
      <c r="C47" s="1" t="s">
        <v>131</v>
      </c>
      <c r="D47" s="1" t="s">
        <v>541</v>
      </c>
      <c r="E47" s="25" t="s">
        <v>542</v>
      </c>
    </row>
    <row r="48" spans="1:5" ht="12.75">
      <c r="A48" s="24" t="s">
        <v>522</v>
      </c>
      <c r="B48" s="1" t="s">
        <v>28</v>
      </c>
      <c r="C48" s="1" t="s">
        <v>131</v>
      </c>
      <c r="D48" s="1" t="s">
        <v>543</v>
      </c>
      <c r="E48" s="25" t="s">
        <v>544</v>
      </c>
    </row>
    <row r="49" spans="1:5" ht="12.75">
      <c r="A49" s="24" t="s">
        <v>534</v>
      </c>
      <c r="B49" s="1" t="s">
        <v>28</v>
      </c>
      <c r="C49" s="1" t="s">
        <v>133</v>
      </c>
      <c r="D49" s="1" t="s">
        <v>545</v>
      </c>
      <c r="E49" s="25" t="s">
        <v>546</v>
      </c>
    </row>
    <row r="50" spans="1:5" ht="12.75">
      <c r="A50" s="24" t="s">
        <v>526</v>
      </c>
      <c r="B50" s="1" t="s">
        <v>28</v>
      </c>
      <c r="C50" s="1" t="s">
        <v>32</v>
      </c>
      <c r="D50" s="1" t="s">
        <v>547</v>
      </c>
      <c r="E50" s="25" t="s">
        <v>548</v>
      </c>
    </row>
    <row r="51" spans="1:5" ht="12.75">
      <c r="A51" s="24" t="s">
        <v>252</v>
      </c>
      <c r="B51" s="1" t="s">
        <v>28</v>
      </c>
      <c r="C51" s="1" t="s">
        <v>133</v>
      </c>
      <c r="D51" s="1" t="s">
        <v>549</v>
      </c>
      <c r="E51" s="25" t="s">
        <v>550</v>
      </c>
    </row>
    <row r="52" spans="1:5" ht="12.75">
      <c r="A52" s="24" t="s">
        <v>88</v>
      </c>
      <c r="B52" s="1" t="s">
        <v>28</v>
      </c>
      <c r="C52" s="1" t="s">
        <v>125</v>
      </c>
      <c r="D52" s="1" t="s">
        <v>551</v>
      </c>
      <c r="E52" s="25" t="s">
        <v>552</v>
      </c>
    </row>
    <row r="53" spans="1:5" ht="12.75">
      <c r="A53" s="24" t="s">
        <v>56</v>
      </c>
      <c r="B53" s="1" t="s">
        <v>28</v>
      </c>
      <c r="C53" s="1" t="s">
        <v>131</v>
      </c>
      <c r="D53" s="1" t="s">
        <v>553</v>
      </c>
      <c r="E53" s="25" t="s">
        <v>554</v>
      </c>
    </row>
    <row r="54" spans="1:5" ht="12.75">
      <c r="A54" s="24" t="s">
        <v>226</v>
      </c>
      <c r="B54" s="1" t="s">
        <v>28</v>
      </c>
      <c r="C54" s="1" t="s">
        <v>32</v>
      </c>
      <c r="D54" s="1" t="s">
        <v>555</v>
      </c>
      <c r="E54" s="25" t="s">
        <v>556</v>
      </c>
    </row>
  </sheetData>
  <sheetProtection selectLockedCells="1" selectUnlockedCells="1"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4:L14"/>
    <mergeCell ref="A18:L18"/>
    <mergeCell ref="A21:L2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E13" sqref="E13"/>
    </sheetView>
  </sheetViews>
  <sheetFormatPr defaultColWidth="9.00390625" defaultRowHeight="12.75"/>
  <cols>
    <col min="1" max="1" width="24.875" style="1" customWidth="1"/>
    <col min="2" max="2" width="24.1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7.00390625" style="1" customWidth="1"/>
    <col min="7" max="7" width="4.50390625" style="1" customWidth="1"/>
    <col min="8" max="8" width="7.375" style="1" customWidth="1"/>
    <col min="9" max="9" width="2.125" style="1" customWidth="1"/>
    <col min="10" max="10" width="4.50390625" style="1" customWidth="1"/>
    <col min="11" max="11" width="6.50390625" style="1" customWidth="1"/>
    <col min="12" max="12" width="9.50390625" style="1" customWidth="1"/>
    <col min="13" max="13" width="7.125" style="1" customWidth="1"/>
  </cols>
  <sheetData>
    <row r="1" spans="1:13" s="3" customFormat="1" ht="15" customHeight="1">
      <c r="A1" s="2" t="s">
        <v>557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0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469</v>
      </c>
      <c r="C3" s="5" t="s">
        <v>3</v>
      </c>
      <c r="D3" s="6" t="s">
        <v>4</v>
      </c>
      <c r="E3" s="6" t="s">
        <v>5</v>
      </c>
      <c r="F3" s="7" t="s">
        <v>6</v>
      </c>
      <c r="G3" s="51" t="s">
        <v>167</v>
      </c>
      <c r="H3" s="51"/>
      <c r="I3" s="51"/>
      <c r="J3" s="51"/>
      <c r="K3" s="6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3" t="s">
        <v>470</v>
      </c>
      <c r="H4" s="13" t="s">
        <v>471</v>
      </c>
      <c r="I4" s="13">
        <v>3</v>
      </c>
      <c r="J4" s="14" t="s">
        <v>11</v>
      </c>
      <c r="K4" s="6"/>
      <c r="L4" s="6"/>
      <c r="M4" s="10"/>
    </row>
    <row r="5" spans="1:12" ht="15">
      <c r="A5" s="15" t="s">
        <v>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558</v>
      </c>
      <c r="B6" s="16" t="s">
        <v>559</v>
      </c>
      <c r="C6" s="16" t="s">
        <v>560</v>
      </c>
      <c r="D6" s="16">
        <f>"0,9685"</f>
        <v>0</v>
      </c>
      <c r="E6" s="16" t="s">
        <v>16</v>
      </c>
      <c r="F6" s="16" t="s">
        <v>46</v>
      </c>
      <c r="G6" s="16" t="s">
        <v>561</v>
      </c>
      <c r="H6" s="16" t="s">
        <v>330</v>
      </c>
      <c r="I6" s="17"/>
      <c r="J6" s="17"/>
      <c r="K6" s="16">
        <v>1237.5</v>
      </c>
      <c r="L6" s="16">
        <f>"1198,4569"</f>
        <v>0</v>
      </c>
      <c r="M6" s="16"/>
    </row>
    <row r="8" ht="15">
      <c r="E8" s="18" t="s">
        <v>20</v>
      </c>
    </row>
    <row r="9" ht="15">
      <c r="E9" s="18" t="s">
        <v>21</v>
      </c>
    </row>
    <row r="10" ht="15">
      <c r="E10" s="18" t="s">
        <v>22</v>
      </c>
    </row>
    <row r="11" ht="12.75">
      <c r="E11" s="1" t="s">
        <v>23</v>
      </c>
    </row>
    <row r="12" ht="12.75">
      <c r="E12" s="1" t="s">
        <v>24</v>
      </c>
    </row>
    <row r="13" ht="12.75">
      <c r="E13" s="1" t="s">
        <v>25</v>
      </c>
    </row>
    <row r="16" spans="1:2" ht="17.25">
      <c r="A16" s="19" t="s">
        <v>26</v>
      </c>
      <c r="B16" s="19"/>
    </row>
    <row r="17" spans="1:2" ht="15">
      <c r="A17" s="20" t="s">
        <v>27</v>
      </c>
      <c r="B17" s="20"/>
    </row>
    <row r="18" spans="1:2" ht="14.25">
      <c r="A18" s="21" t="s">
        <v>122</v>
      </c>
      <c r="B18" s="22"/>
    </row>
    <row r="19" spans="1:5" ht="13.5">
      <c r="A19" s="23" t="s">
        <v>1</v>
      </c>
      <c r="B19" s="23" t="s">
        <v>29</v>
      </c>
      <c r="C19" s="23" t="s">
        <v>30</v>
      </c>
      <c r="D19" s="23" t="s">
        <v>8</v>
      </c>
      <c r="E19" s="23" t="s">
        <v>31</v>
      </c>
    </row>
    <row r="20" spans="1:5" ht="12.75">
      <c r="A20" s="24" t="s">
        <v>558</v>
      </c>
      <c r="B20" s="1" t="s">
        <v>123</v>
      </c>
      <c r="C20" s="1" t="s">
        <v>286</v>
      </c>
      <c r="D20" s="1" t="s">
        <v>562</v>
      </c>
      <c r="E20" s="25" t="s">
        <v>563</v>
      </c>
    </row>
  </sheetData>
  <sheetProtection selectLockedCells="1" selectUnlockedCells="1"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1">
      <selection activeCell="A11" sqref="A11"/>
    </sheetView>
  </sheetViews>
  <sheetFormatPr defaultColWidth="9.00390625" defaultRowHeight="12.75"/>
  <cols>
    <col min="1" max="1" width="24.875" style="1" customWidth="1"/>
    <col min="2" max="2" width="30.50390625" style="1" customWidth="1"/>
    <col min="3" max="3" width="7.50390625" style="1" customWidth="1"/>
    <col min="4" max="4" width="6.50390625" style="1" customWidth="1"/>
    <col min="5" max="5" width="21.375" style="1" customWidth="1"/>
    <col min="6" max="6" width="32.003906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14.50390625" style="1" customWidth="1"/>
  </cols>
  <sheetData>
    <row r="1" spans="1:13" s="3" customFormat="1" ht="15" customHeight="1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3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36</v>
      </c>
      <c r="B6" s="16" t="s">
        <v>37</v>
      </c>
      <c r="C6" s="16" t="s">
        <v>38</v>
      </c>
      <c r="D6" s="16">
        <f>"0,9670"</f>
        <v>0</v>
      </c>
      <c r="E6" s="16" t="s">
        <v>39</v>
      </c>
      <c r="F6" s="16" t="s">
        <v>40</v>
      </c>
      <c r="G6" s="17" t="s">
        <v>41</v>
      </c>
      <c r="H6" s="17"/>
      <c r="I6" s="17"/>
      <c r="J6" s="17"/>
      <c r="K6" s="16">
        <v>0</v>
      </c>
      <c r="L6" s="16">
        <f>"0,0000"</f>
        <v>0</v>
      </c>
      <c r="M6" s="16"/>
    </row>
    <row r="8" spans="1:12" ht="15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 ht="12.75">
      <c r="A9" s="16" t="s">
        <v>43</v>
      </c>
      <c r="B9" s="16" t="s">
        <v>44</v>
      </c>
      <c r="C9" s="16" t="s">
        <v>45</v>
      </c>
      <c r="D9" s="16">
        <f>"0,7327"</f>
        <v>0</v>
      </c>
      <c r="E9" s="16" t="s">
        <v>16</v>
      </c>
      <c r="F9" s="16" t="s">
        <v>46</v>
      </c>
      <c r="G9" s="16" t="s">
        <v>47</v>
      </c>
      <c r="H9" s="16" t="s">
        <v>48</v>
      </c>
      <c r="I9" s="16" t="s">
        <v>49</v>
      </c>
      <c r="J9" s="17"/>
      <c r="K9" s="16">
        <v>187.5</v>
      </c>
      <c r="L9" s="16">
        <f>"137,3812"</f>
        <v>0</v>
      </c>
      <c r="M9" s="16"/>
    </row>
    <row r="11" spans="1:12" ht="15">
      <c r="A11" s="26" t="s">
        <v>50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3" ht="12.75">
      <c r="A12" s="27" t="s">
        <v>51</v>
      </c>
      <c r="B12" s="27" t="s">
        <v>52</v>
      </c>
      <c r="C12" s="27" t="s">
        <v>53</v>
      </c>
      <c r="D12" s="27">
        <f>"0,6694"</f>
        <v>0</v>
      </c>
      <c r="E12" s="27" t="s">
        <v>16</v>
      </c>
      <c r="F12" s="27" t="s">
        <v>46</v>
      </c>
      <c r="G12" s="28" t="s">
        <v>54</v>
      </c>
      <c r="H12" s="28" t="s">
        <v>55</v>
      </c>
      <c r="I12" s="27" t="s">
        <v>55</v>
      </c>
      <c r="J12" s="28"/>
      <c r="K12" s="27">
        <v>160</v>
      </c>
      <c r="L12" s="27">
        <f>"107,1040"</f>
        <v>0</v>
      </c>
      <c r="M12" s="27"/>
    </row>
    <row r="13" spans="1:13" ht="12.75">
      <c r="A13" s="29" t="s">
        <v>56</v>
      </c>
      <c r="B13" s="29" t="s">
        <v>57</v>
      </c>
      <c r="C13" s="29" t="s">
        <v>58</v>
      </c>
      <c r="D13" s="29">
        <f>"0,6559"</f>
        <v>0</v>
      </c>
      <c r="E13" s="29" t="s">
        <v>16</v>
      </c>
      <c r="F13" s="29" t="s">
        <v>59</v>
      </c>
      <c r="G13" s="29" t="s">
        <v>60</v>
      </c>
      <c r="H13" s="29" t="s">
        <v>61</v>
      </c>
      <c r="I13" s="30" t="s">
        <v>62</v>
      </c>
      <c r="J13" s="30"/>
      <c r="K13" s="29">
        <v>202.5</v>
      </c>
      <c r="L13" s="29">
        <f>"132,8198"</f>
        <v>0</v>
      </c>
      <c r="M13" s="29"/>
    </row>
    <row r="14" spans="1:13" ht="12.75">
      <c r="A14" s="29" t="s">
        <v>63</v>
      </c>
      <c r="B14" s="29" t="s">
        <v>64</v>
      </c>
      <c r="C14" s="29" t="s">
        <v>65</v>
      </c>
      <c r="D14" s="29">
        <f>"0,6760"</f>
        <v>0</v>
      </c>
      <c r="E14" s="29" t="s">
        <v>16</v>
      </c>
      <c r="F14" s="29" t="s">
        <v>66</v>
      </c>
      <c r="G14" s="29" t="s">
        <v>67</v>
      </c>
      <c r="H14" s="29" t="s">
        <v>68</v>
      </c>
      <c r="I14" s="29" t="s">
        <v>62</v>
      </c>
      <c r="J14" s="30"/>
      <c r="K14" s="29">
        <v>205</v>
      </c>
      <c r="L14" s="29">
        <f>"138,5800"</f>
        <v>0</v>
      </c>
      <c r="M14" s="29" t="s">
        <v>69</v>
      </c>
    </row>
    <row r="15" spans="1:13" ht="12.75">
      <c r="A15" s="31" t="s">
        <v>70</v>
      </c>
      <c r="B15" s="31" t="s">
        <v>71</v>
      </c>
      <c r="C15" s="31" t="s">
        <v>72</v>
      </c>
      <c r="D15" s="31">
        <f>"1,1283"</f>
        <v>0</v>
      </c>
      <c r="E15" s="31" t="s">
        <v>73</v>
      </c>
      <c r="F15" s="31" t="s">
        <v>74</v>
      </c>
      <c r="G15" s="31" t="s">
        <v>47</v>
      </c>
      <c r="H15" s="31" t="s">
        <v>75</v>
      </c>
      <c r="I15" s="31" t="s">
        <v>68</v>
      </c>
      <c r="J15" s="32"/>
      <c r="K15" s="31">
        <v>200</v>
      </c>
      <c r="L15" s="31">
        <f>"225,6611"</f>
        <v>0</v>
      </c>
      <c r="M15" s="31"/>
    </row>
    <row r="17" spans="1:12" ht="15">
      <c r="A17" s="26" t="s">
        <v>12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3" ht="12.75">
      <c r="A18" s="16" t="s">
        <v>76</v>
      </c>
      <c r="B18" s="16" t="s">
        <v>77</v>
      </c>
      <c r="C18" s="16" t="s">
        <v>78</v>
      </c>
      <c r="D18" s="16">
        <f>"0,6318"</f>
        <v>0</v>
      </c>
      <c r="E18" s="16" t="s">
        <v>79</v>
      </c>
      <c r="F18" s="16" t="s">
        <v>80</v>
      </c>
      <c r="G18" s="16" t="s">
        <v>81</v>
      </c>
      <c r="H18" s="16" t="s">
        <v>82</v>
      </c>
      <c r="I18" s="17" t="s">
        <v>83</v>
      </c>
      <c r="J18" s="17"/>
      <c r="K18" s="16">
        <v>237.5</v>
      </c>
      <c r="L18" s="16">
        <f>"150,0525"</f>
        <v>0</v>
      </c>
      <c r="M18" s="16"/>
    </row>
    <row r="20" spans="1:12" ht="15">
      <c r="A20" s="26" t="s">
        <v>84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3" ht="12.75">
      <c r="A21" s="27" t="s">
        <v>85</v>
      </c>
      <c r="B21" s="27" t="s">
        <v>86</v>
      </c>
      <c r="C21" s="27" t="s">
        <v>87</v>
      </c>
      <c r="D21" s="27">
        <f>"0,5935"</f>
        <v>0</v>
      </c>
      <c r="E21" s="27" t="s">
        <v>79</v>
      </c>
      <c r="F21" s="27" t="s">
        <v>80</v>
      </c>
      <c r="G21" s="27" t="s">
        <v>67</v>
      </c>
      <c r="H21" s="27" t="s">
        <v>60</v>
      </c>
      <c r="I21" s="27" t="s">
        <v>62</v>
      </c>
      <c r="J21" s="28"/>
      <c r="K21" s="27">
        <v>205</v>
      </c>
      <c r="L21" s="27">
        <f>"121,6675"</f>
        <v>0</v>
      </c>
      <c r="M21" s="27"/>
    </row>
    <row r="22" spans="1:13" ht="12.75">
      <c r="A22" s="29" t="s">
        <v>88</v>
      </c>
      <c r="B22" s="29" t="s">
        <v>89</v>
      </c>
      <c r="C22" s="29" t="s">
        <v>90</v>
      </c>
      <c r="D22" s="29">
        <f>"0,5991"</f>
        <v>0</v>
      </c>
      <c r="E22" s="29" t="s">
        <v>16</v>
      </c>
      <c r="F22" s="29" t="s">
        <v>91</v>
      </c>
      <c r="G22" s="29" t="s">
        <v>92</v>
      </c>
      <c r="H22" s="29" t="s">
        <v>83</v>
      </c>
      <c r="I22" s="30" t="s">
        <v>93</v>
      </c>
      <c r="J22" s="30"/>
      <c r="K22" s="29">
        <v>245</v>
      </c>
      <c r="L22" s="29">
        <f>"146,7795"</f>
        <v>0</v>
      </c>
      <c r="M22" s="29"/>
    </row>
    <row r="23" spans="1:13" ht="12.75">
      <c r="A23" s="31" t="s">
        <v>94</v>
      </c>
      <c r="B23" s="31" t="s">
        <v>95</v>
      </c>
      <c r="C23" s="31" t="s">
        <v>96</v>
      </c>
      <c r="D23" s="31">
        <f>"0,5910"</f>
        <v>0</v>
      </c>
      <c r="E23" s="31" t="s">
        <v>16</v>
      </c>
      <c r="F23" s="31" t="s">
        <v>97</v>
      </c>
      <c r="G23" s="31" t="s">
        <v>98</v>
      </c>
      <c r="H23" s="31" t="s">
        <v>99</v>
      </c>
      <c r="I23" s="31" t="s">
        <v>100</v>
      </c>
      <c r="J23" s="32"/>
      <c r="K23" s="31">
        <v>222.5</v>
      </c>
      <c r="L23" s="31">
        <f>"131,4975"</f>
        <v>0</v>
      </c>
      <c r="M23" s="31"/>
    </row>
    <row r="25" spans="1:12" ht="15">
      <c r="A25" s="26" t="s">
        <v>101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3" ht="12.75">
      <c r="A26" s="16" t="s">
        <v>102</v>
      </c>
      <c r="B26" s="16" t="s">
        <v>103</v>
      </c>
      <c r="C26" s="16" t="s">
        <v>104</v>
      </c>
      <c r="D26" s="16">
        <f>"0,5734"</f>
        <v>0</v>
      </c>
      <c r="E26" s="16" t="s">
        <v>16</v>
      </c>
      <c r="F26" s="16" t="s">
        <v>46</v>
      </c>
      <c r="G26" s="16" t="s">
        <v>61</v>
      </c>
      <c r="H26" s="17" t="s">
        <v>98</v>
      </c>
      <c r="I26" s="17"/>
      <c r="J26" s="17"/>
      <c r="K26" s="16">
        <v>202.5</v>
      </c>
      <c r="L26" s="16">
        <f>"116,1135"</f>
        <v>0</v>
      </c>
      <c r="M26" s="16"/>
    </row>
    <row r="28" spans="1:12" ht="15">
      <c r="A28" s="26" t="s">
        <v>105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3" ht="12.75">
      <c r="A29" s="27" t="s">
        <v>106</v>
      </c>
      <c r="B29" s="27" t="s">
        <v>107</v>
      </c>
      <c r="C29" s="27" t="s">
        <v>108</v>
      </c>
      <c r="D29" s="27">
        <f>"0,5398"</f>
        <v>0</v>
      </c>
      <c r="E29" s="27" t="s">
        <v>39</v>
      </c>
      <c r="F29" s="27" t="s">
        <v>17</v>
      </c>
      <c r="G29" s="28" t="s">
        <v>109</v>
      </c>
      <c r="H29" s="27" t="s">
        <v>110</v>
      </c>
      <c r="I29" s="28" t="s">
        <v>111</v>
      </c>
      <c r="J29" s="28"/>
      <c r="K29" s="27">
        <v>280</v>
      </c>
      <c r="L29" s="27">
        <f>"151,1440"</f>
        <v>0</v>
      </c>
      <c r="M29" s="27"/>
    </row>
    <row r="30" spans="1:13" ht="12.75">
      <c r="A30" s="29" t="s">
        <v>112</v>
      </c>
      <c r="B30" s="29" t="s">
        <v>113</v>
      </c>
      <c r="C30" s="29" t="s">
        <v>114</v>
      </c>
      <c r="D30" s="29">
        <f>"0,5477"</f>
        <v>0</v>
      </c>
      <c r="E30" s="29" t="s">
        <v>16</v>
      </c>
      <c r="F30" s="29" t="s">
        <v>46</v>
      </c>
      <c r="G30" s="29" t="s">
        <v>75</v>
      </c>
      <c r="H30" s="29" t="s">
        <v>115</v>
      </c>
      <c r="I30" s="29" t="s">
        <v>116</v>
      </c>
      <c r="J30" s="30"/>
      <c r="K30" s="29">
        <v>220</v>
      </c>
      <c r="L30" s="29">
        <f>"120,4940"</f>
        <v>0</v>
      </c>
      <c r="M30" s="29"/>
    </row>
    <row r="31" spans="1:13" ht="12.75">
      <c r="A31" s="31" t="s">
        <v>117</v>
      </c>
      <c r="B31" s="31" t="s">
        <v>118</v>
      </c>
      <c r="C31" s="31" t="s">
        <v>119</v>
      </c>
      <c r="D31" s="31">
        <f>"0,5470"</f>
        <v>0</v>
      </c>
      <c r="E31" s="31" t="s">
        <v>16</v>
      </c>
      <c r="F31" s="31" t="s">
        <v>46</v>
      </c>
      <c r="G31" s="31" t="s">
        <v>120</v>
      </c>
      <c r="H31" s="32" t="s">
        <v>121</v>
      </c>
      <c r="I31" s="32"/>
      <c r="J31" s="32"/>
      <c r="K31" s="31">
        <v>215</v>
      </c>
      <c r="L31" s="31">
        <f>"117,5988"</f>
        <v>0</v>
      </c>
      <c r="M31" s="31"/>
    </row>
    <row r="33" ht="15">
      <c r="E33" s="18" t="s">
        <v>20</v>
      </c>
    </row>
    <row r="34" ht="15">
      <c r="E34" s="18" t="s">
        <v>21</v>
      </c>
    </row>
    <row r="35" ht="15">
      <c r="E35" s="18" t="s">
        <v>22</v>
      </c>
    </row>
    <row r="36" ht="12.75">
      <c r="E36" s="1" t="s">
        <v>23</v>
      </c>
    </row>
    <row r="37" ht="12.75">
      <c r="E37" s="1" t="s">
        <v>24</v>
      </c>
    </row>
    <row r="38" ht="12.75">
      <c r="E38" s="1" t="s">
        <v>25</v>
      </c>
    </row>
    <row r="41" spans="1:2" ht="17.25">
      <c r="A41" s="19" t="s">
        <v>26</v>
      </c>
      <c r="B41" s="19"/>
    </row>
    <row r="42" spans="1:2" ht="15">
      <c r="A42" s="20" t="s">
        <v>27</v>
      </c>
      <c r="B42" s="20"/>
    </row>
    <row r="43" spans="1:2" ht="14.25">
      <c r="A43" s="21" t="s">
        <v>122</v>
      </c>
      <c r="B43" s="22"/>
    </row>
    <row r="44" spans="1:5" ht="13.5">
      <c r="A44" s="23" t="s">
        <v>1</v>
      </c>
      <c r="B44" s="23" t="s">
        <v>29</v>
      </c>
      <c r="C44" s="23" t="s">
        <v>30</v>
      </c>
      <c r="D44" s="23" t="s">
        <v>8</v>
      </c>
      <c r="E44" s="23" t="s">
        <v>31</v>
      </c>
    </row>
    <row r="45" spans="1:5" ht="12.75">
      <c r="A45" s="24" t="s">
        <v>76</v>
      </c>
      <c r="B45" s="1" t="s">
        <v>123</v>
      </c>
      <c r="C45" s="1" t="s">
        <v>32</v>
      </c>
      <c r="D45" s="1" t="s">
        <v>82</v>
      </c>
      <c r="E45" s="25" t="s">
        <v>124</v>
      </c>
    </row>
    <row r="46" spans="1:5" ht="12.75">
      <c r="A46" s="24" t="s">
        <v>85</v>
      </c>
      <c r="B46" s="1" t="s">
        <v>123</v>
      </c>
      <c r="C46" s="1" t="s">
        <v>125</v>
      </c>
      <c r="D46" s="1" t="s">
        <v>62</v>
      </c>
      <c r="E46" s="25" t="s">
        <v>126</v>
      </c>
    </row>
    <row r="48" spans="1:2" ht="14.25">
      <c r="A48" s="21" t="s">
        <v>127</v>
      </c>
      <c r="B48" s="22"/>
    </row>
    <row r="49" spans="1:5" ht="13.5">
      <c r="A49" s="23" t="s">
        <v>1</v>
      </c>
      <c r="B49" s="23" t="s">
        <v>29</v>
      </c>
      <c r="C49" s="23" t="s">
        <v>30</v>
      </c>
      <c r="D49" s="23" t="s">
        <v>8</v>
      </c>
      <c r="E49" s="23" t="s">
        <v>31</v>
      </c>
    </row>
    <row r="50" spans="1:5" ht="12.75">
      <c r="A50" s="24" t="s">
        <v>43</v>
      </c>
      <c r="B50" s="1" t="s">
        <v>128</v>
      </c>
      <c r="C50" s="1" t="s">
        <v>129</v>
      </c>
      <c r="D50" s="1" t="s">
        <v>49</v>
      </c>
      <c r="E50" s="25" t="s">
        <v>130</v>
      </c>
    </row>
    <row r="51" spans="1:5" ht="12.75">
      <c r="A51" s="24" t="s">
        <v>51</v>
      </c>
      <c r="B51" s="1" t="s">
        <v>128</v>
      </c>
      <c r="C51" s="1" t="s">
        <v>131</v>
      </c>
      <c r="D51" s="1" t="s">
        <v>55</v>
      </c>
      <c r="E51" s="25" t="s">
        <v>132</v>
      </c>
    </row>
    <row r="53" spans="1:2" ht="14.25">
      <c r="A53" s="21" t="s">
        <v>28</v>
      </c>
      <c r="B53" s="22"/>
    </row>
    <row r="54" spans="1:5" ht="13.5">
      <c r="A54" s="23" t="s">
        <v>1</v>
      </c>
      <c r="B54" s="23" t="s">
        <v>29</v>
      </c>
      <c r="C54" s="23" t="s">
        <v>30</v>
      </c>
      <c r="D54" s="23" t="s">
        <v>8</v>
      </c>
      <c r="E54" s="23" t="s">
        <v>31</v>
      </c>
    </row>
    <row r="55" spans="1:5" ht="12.75">
      <c r="A55" s="24" t="s">
        <v>106</v>
      </c>
      <c r="B55" s="1" t="s">
        <v>28</v>
      </c>
      <c r="C55" s="1" t="s">
        <v>133</v>
      </c>
      <c r="D55" s="1" t="s">
        <v>110</v>
      </c>
      <c r="E55" s="25" t="s">
        <v>134</v>
      </c>
    </row>
    <row r="56" spans="1:5" ht="12.75">
      <c r="A56" s="24" t="s">
        <v>88</v>
      </c>
      <c r="B56" s="1" t="s">
        <v>28</v>
      </c>
      <c r="C56" s="1" t="s">
        <v>125</v>
      </c>
      <c r="D56" s="1" t="s">
        <v>83</v>
      </c>
      <c r="E56" s="25" t="s">
        <v>135</v>
      </c>
    </row>
    <row r="57" spans="1:5" ht="12.75">
      <c r="A57" s="24" t="s">
        <v>56</v>
      </c>
      <c r="B57" s="1" t="s">
        <v>28</v>
      </c>
      <c r="C57" s="1" t="s">
        <v>131</v>
      </c>
      <c r="D57" s="1" t="s">
        <v>61</v>
      </c>
      <c r="E57" s="25" t="s">
        <v>136</v>
      </c>
    </row>
    <row r="58" spans="1:5" ht="12.75">
      <c r="A58" s="24" t="s">
        <v>94</v>
      </c>
      <c r="B58" s="1" t="s">
        <v>28</v>
      </c>
      <c r="C58" s="1" t="s">
        <v>125</v>
      </c>
      <c r="D58" s="1" t="s">
        <v>100</v>
      </c>
      <c r="E58" s="25" t="s">
        <v>137</v>
      </c>
    </row>
    <row r="59" spans="1:5" ht="12.75">
      <c r="A59" s="24" t="s">
        <v>112</v>
      </c>
      <c r="B59" s="1" t="s">
        <v>28</v>
      </c>
      <c r="C59" s="1" t="s">
        <v>133</v>
      </c>
      <c r="D59" s="1" t="s">
        <v>116</v>
      </c>
      <c r="E59" s="25" t="s">
        <v>138</v>
      </c>
    </row>
    <row r="60" spans="1:5" ht="12.75">
      <c r="A60" s="24" t="s">
        <v>102</v>
      </c>
      <c r="B60" s="1" t="s">
        <v>28</v>
      </c>
      <c r="C60" s="1" t="s">
        <v>139</v>
      </c>
      <c r="D60" s="1" t="s">
        <v>61</v>
      </c>
      <c r="E60" s="25" t="s">
        <v>140</v>
      </c>
    </row>
    <row r="62" spans="1:2" ht="14.25">
      <c r="A62" s="21" t="s">
        <v>141</v>
      </c>
      <c r="B62" s="22"/>
    </row>
    <row r="63" spans="1:5" ht="13.5">
      <c r="A63" s="23" t="s">
        <v>1</v>
      </c>
      <c r="B63" s="23" t="s">
        <v>29</v>
      </c>
      <c r="C63" s="23" t="s">
        <v>30</v>
      </c>
      <c r="D63" s="23" t="s">
        <v>8</v>
      </c>
      <c r="E63" s="23" t="s">
        <v>31</v>
      </c>
    </row>
    <row r="64" spans="1:5" ht="12.75">
      <c r="A64" s="24" t="s">
        <v>70</v>
      </c>
      <c r="B64" s="1" t="s">
        <v>142</v>
      </c>
      <c r="C64" s="1" t="s">
        <v>131</v>
      </c>
      <c r="D64" s="1" t="s">
        <v>68</v>
      </c>
      <c r="E64" s="25" t="s">
        <v>143</v>
      </c>
    </row>
    <row r="65" spans="1:5" ht="12.75">
      <c r="A65" s="24" t="s">
        <v>117</v>
      </c>
      <c r="B65" s="1" t="s">
        <v>144</v>
      </c>
      <c r="C65" s="1" t="s">
        <v>133</v>
      </c>
      <c r="D65" s="1" t="s">
        <v>120</v>
      </c>
      <c r="E65" s="25" t="s">
        <v>145</v>
      </c>
    </row>
  </sheetData>
  <sheetProtection selectLockedCells="1" selectUnlockedCells="1"/>
  <mergeCells count="18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7:L17"/>
    <mergeCell ref="A20:L20"/>
    <mergeCell ref="A25:L25"/>
    <mergeCell ref="A28:L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24.875" style="1" customWidth="1"/>
    <col min="2" max="2" width="19.1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8.6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28.375" style="1" customWidth="1"/>
  </cols>
  <sheetData>
    <row r="1" spans="1:13" s="3" customFormat="1" ht="15" customHeight="1">
      <c r="A1" s="2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5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42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147</v>
      </c>
      <c r="B6" s="16" t="s">
        <v>148</v>
      </c>
      <c r="C6" s="16" t="s">
        <v>149</v>
      </c>
      <c r="D6" s="16">
        <f>"0,7514"</f>
        <v>0</v>
      </c>
      <c r="E6" s="16" t="s">
        <v>16</v>
      </c>
      <c r="F6" s="16" t="s">
        <v>46</v>
      </c>
      <c r="G6" s="16" t="s">
        <v>47</v>
      </c>
      <c r="H6" s="16" t="s">
        <v>60</v>
      </c>
      <c r="I6" s="16" t="s">
        <v>62</v>
      </c>
      <c r="J6" s="17"/>
      <c r="K6" s="16">
        <v>205</v>
      </c>
      <c r="L6" s="16">
        <f>"154,0370"</f>
        <v>0</v>
      </c>
      <c r="M6" s="16"/>
    </row>
    <row r="8" ht="15">
      <c r="E8" s="18" t="s">
        <v>20</v>
      </c>
    </row>
    <row r="9" ht="15">
      <c r="E9" s="18" t="s">
        <v>21</v>
      </c>
    </row>
    <row r="10" ht="15">
      <c r="E10" s="18" t="s">
        <v>22</v>
      </c>
    </row>
    <row r="11" ht="12.75">
      <c r="E11" s="1" t="s">
        <v>23</v>
      </c>
    </row>
    <row r="12" ht="12.75">
      <c r="E12" s="1" t="s">
        <v>24</v>
      </c>
    </row>
    <row r="13" ht="12.75">
      <c r="E13" s="1" t="s">
        <v>25</v>
      </c>
    </row>
    <row r="16" spans="1:2" ht="17.25">
      <c r="A16" s="19" t="s">
        <v>26</v>
      </c>
      <c r="B16" s="19"/>
    </row>
    <row r="17" spans="1:2" ht="15">
      <c r="A17" s="20" t="s">
        <v>27</v>
      </c>
      <c r="B17" s="20"/>
    </row>
    <row r="18" spans="1:2" ht="14.25">
      <c r="A18" s="21" t="s">
        <v>28</v>
      </c>
      <c r="B18" s="22"/>
    </row>
    <row r="19" spans="1:5" ht="13.5">
      <c r="A19" s="23" t="s">
        <v>1</v>
      </c>
      <c r="B19" s="23" t="s">
        <v>29</v>
      </c>
      <c r="C19" s="23" t="s">
        <v>30</v>
      </c>
      <c r="D19" s="23" t="s">
        <v>8</v>
      </c>
      <c r="E19" s="23" t="s">
        <v>31</v>
      </c>
    </row>
    <row r="20" spans="1:5" ht="12.75">
      <c r="A20" s="24" t="s">
        <v>147</v>
      </c>
      <c r="B20" s="1" t="s">
        <v>28</v>
      </c>
      <c r="C20" s="1" t="s">
        <v>129</v>
      </c>
      <c r="D20" s="1" t="s">
        <v>62</v>
      </c>
      <c r="E20" s="25" t="s">
        <v>150</v>
      </c>
    </row>
  </sheetData>
  <sheetProtection selectLockedCells="1" selectUnlockedCells="1"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20.1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7.125" style="1" customWidth="1"/>
  </cols>
  <sheetData>
    <row r="1" spans="1:13" s="3" customFormat="1" ht="15" customHeight="1">
      <c r="A1" s="2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3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152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27" t="s">
        <v>153</v>
      </c>
      <c r="B6" s="27" t="s">
        <v>154</v>
      </c>
      <c r="C6" s="27" t="s">
        <v>155</v>
      </c>
      <c r="D6" s="27">
        <f>"0,5262"</f>
        <v>0</v>
      </c>
      <c r="E6" s="27" t="s">
        <v>16</v>
      </c>
      <c r="F6" s="27" t="s">
        <v>46</v>
      </c>
      <c r="G6" s="27" t="s">
        <v>156</v>
      </c>
      <c r="H6" s="27" t="s">
        <v>157</v>
      </c>
      <c r="I6" s="28" t="s">
        <v>110</v>
      </c>
      <c r="J6" s="28"/>
      <c r="K6" s="27">
        <v>270</v>
      </c>
      <c r="L6" s="27">
        <f>"142,0740"</f>
        <v>0</v>
      </c>
      <c r="M6" s="27"/>
    </row>
    <row r="7" spans="1:13" ht="12.75">
      <c r="A7" s="31" t="s">
        <v>158</v>
      </c>
      <c r="B7" s="31" t="s">
        <v>159</v>
      </c>
      <c r="C7" s="31" t="s">
        <v>160</v>
      </c>
      <c r="D7" s="31">
        <f>"0,6805"</f>
        <v>0</v>
      </c>
      <c r="E7" s="31" t="s">
        <v>16</v>
      </c>
      <c r="F7" s="31" t="s">
        <v>161</v>
      </c>
      <c r="G7" s="31" t="s">
        <v>18</v>
      </c>
      <c r="H7" s="31" t="s">
        <v>157</v>
      </c>
      <c r="I7" s="32" t="s">
        <v>110</v>
      </c>
      <c r="J7" s="32"/>
      <c r="K7" s="31">
        <v>270</v>
      </c>
      <c r="L7" s="31">
        <f>"183,7261"</f>
        <v>0</v>
      </c>
      <c r="M7" s="31"/>
    </row>
    <row r="9" ht="15">
      <c r="E9" s="18" t="s">
        <v>20</v>
      </c>
    </row>
    <row r="10" ht="15">
      <c r="E10" s="18" t="s">
        <v>21</v>
      </c>
    </row>
    <row r="11" ht="15">
      <c r="E11" s="18" t="s">
        <v>22</v>
      </c>
    </row>
    <row r="12" ht="12.75">
      <c r="E12" s="1" t="s">
        <v>23</v>
      </c>
    </row>
    <row r="13" ht="12.75">
      <c r="E13" s="1" t="s">
        <v>24</v>
      </c>
    </row>
    <row r="14" ht="12.75">
      <c r="E14" s="1" t="s">
        <v>25</v>
      </c>
    </row>
    <row r="17" spans="1:2" ht="17.25">
      <c r="A17" s="19" t="s">
        <v>26</v>
      </c>
      <c r="B17" s="19"/>
    </row>
    <row r="18" spans="1:2" ht="15">
      <c r="A18" s="20" t="s">
        <v>27</v>
      </c>
      <c r="B18" s="20"/>
    </row>
    <row r="19" spans="1:2" ht="14.25">
      <c r="A19" s="21" t="s">
        <v>127</v>
      </c>
      <c r="B19" s="22"/>
    </row>
    <row r="20" spans="1:5" ht="13.5">
      <c r="A20" s="23" t="s">
        <v>1</v>
      </c>
      <c r="B20" s="23" t="s">
        <v>29</v>
      </c>
      <c r="C20" s="23" t="s">
        <v>30</v>
      </c>
      <c r="D20" s="23" t="s">
        <v>8</v>
      </c>
      <c r="E20" s="23" t="s">
        <v>31</v>
      </c>
    </row>
    <row r="21" spans="1:5" ht="12.75">
      <c r="A21" s="24" t="s">
        <v>153</v>
      </c>
      <c r="B21" s="1" t="s">
        <v>128</v>
      </c>
      <c r="C21" s="1" t="s">
        <v>162</v>
      </c>
      <c r="D21" s="1" t="s">
        <v>157</v>
      </c>
      <c r="E21" s="25" t="s">
        <v>163</v>
      </c>
    </row>
    <row r="23" spans="1:2" ht="14.25">
      <c r="A23" s="21" t="s">
        <v>141</v>
      </c>
      <c r="B23" s="22"/>
    </row>
    <row r="24" spans="1:5" ht="13.5">
      <c r="A24" s="23" t="s">
        <v>1</v>
      </c>
      <c r="B24" s="23" t="s">
        <v>29</v>
      </c>
      <c r="C24" s="23" t="s">
        <v>30</v>
      </c>
      <c r="D24" s="23" t="s">
        <v>8</v>
      </c>
      <c r="E24" s="23" t="s">
        <v>31</v>
      </c>
    </row>
    <row r="25" spans="1:5" ht="12.75">
      <c r="A25" s="24" t="s">
        <v>158</v>
      </c>
      <c r="B25" s="1" t="s">
        <v>164</v>
      </c>
      <c r="C25" s="1" t="s">
        <v>162</v>
      </c>
      <c r="D25" s="1" t="s">
        <v>157</v>
      </c>
      <c r="E25" s="25" t="s">
        <v>165</v>
      </c>
    </row>
  </sheetData>
  <sheetProtection selectLockedCells="1" selectUnlockedCells="1"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9">
      <selection activeCell="F30" sqref="F30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21.375" style="1" customWidth="1"/>
    <col min="6" max="6" width="31.1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7.125" style="1" customWidth="1"/>
  </cols>
  <sheetData>
    <row r="1" spans="1:13" s="3" customFormat="1" ht="15" customHeight="1">
      <c r="A1" s="2" t="s">
        <v>166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6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167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168</v>
      </c>
      <c r="B6" s="16" t="s">
        <v>169</v>
      </c>
      <c r="C6" s="16" t="s">
        <v>38</v>
      </c>
      <c r="D6" s="16">
        <f>"0,9670"</f>
        <v>0</v>
      </c>
      <c r="E6" s="16" t="s">
        <v>16</v>
      </c>
      <c r="F6" s="16" t="s">
        <v>170</v>
      </c>
      <c r="G6" s="16" t="s">
        <v>171</v>
      </c>
      <c r="H6" s="16" t="s">
        <v>172</v>
      </c>
      <c r="I6" s="16" t="s">
        <v>173</v>
      </c>
      <c r="J6" s="17"/>
      <c r="K6" s="16">
        <v>77.5</v>
      </c>
      <c r="L6" s="16">
        <f>"74,9425"</f>
        <v>0</v>
      </c>
      <c r="M6" s="16"/>
    </row>
    <row r="8" spans="1:12" ht="15">
      <c r="A8" s="26" t="s">
        <v>174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 ht="12.75">
      <c r="A9" s="16" t="s">
        <v>175</v>
      </c>
      <c r="B9" s="16" t="s">
        <v>176</v>
      </c>
      <c r="C9" s="16" t="s">
        <v>177</v>
      </c>
      <c r="D9" s="16">
        <f>"0,9110"</f>
        <v>0</v>
      </c>
      <c r="E9" s="16" t="s">
        <v>16</v>
      </c>
      <c r="F9" s="16" t="s">
        <v>46</v>
      </c>
      <c r="G9" s="17" t="s">
        <v>178</v>
      </c>
      <c r="H9" s="16" t="s">
        <v>178</v>
      </c>
      <c r="I9" s="17" t="s">
        <v>179</v>
      </c>
      <c r="J9" s="17"/>
      <c r="K9" s="16">
        <v>57.5</v>
      </c>
      <c r="L9" s="16">
        <f>"52,3825"</f>
        <v>0</v>
      </c>
      <c r="M9" s="16"/>
    </row>
    <row r="11" spans="1:12" ht="15">
      <c r="A11" s="26" t="s">
        <v>42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3" ht="12.75">
      <c r="A12" s="16" t="s">
        <v>180</v>
      </c>
      <c r="B12" s="16" t="s">
        <v>181</v>
      </c>
      <c r="C12" s="16" t="s">
        <v>182</v>
      </c>
      <c r="D12" s="16">
        <f>"0,7429"</f>
        <v>0</v>
      </c>
      <c r="E12" s="16" t="s">
        <v>16</v>
      </c>
      <c r="F12" s="16" t="s">
        <v>183</v>
      </c>
      <c r="G12" s="17" t="s">
        <v>184</v>
      </c>
      <c r="H12" s="17" t="s">
        <v>184</v>
      </c>
      <c r="I12" s="17" t="s">
        <v>184</v>
      </c>
      <c r="J12" s="17"/>
      <c r="K12" s="16">
        <v>0</v>
      </c>
      <c r="L12" s="16">
        <f>"0,0000"</f>
        <v>0</v>
      </c>
      <c r="M12" s="16"/>
    </row>
    <row r="14" spans="1:12" ht="15">
      <c r="A14" s="26" t="s">
        <v>50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3" ht="12.75">
      <c r="A15" s="27" t="s">
        <v>185</v>
      </c>
      <c r="B15" s="27" t="s">
        <v>186</v>
      </c>
      <c r="C15" s="27" t="s">
        <v>187</v>
      </c>
      <c r="D15" s="27">
        <f>"0,6745"</f>
        <v>0</v>
      </c>
      <c r="E15" s="27" t="s">
        <v>16</v>
      </c>
      <c r="F15" s="27" t="s">
        <v>188</v>
      </c>
      <c r="G15" s="28" t="s">
        <v>189</v>
      </c>
      <c r="H15" s="28" t="s">
        <v>189</v>
      </c>
      <c r="I15" s="28" t="s">
        <v>189</v>
      </c>
      <c r="J15" s="28"/>
      <c r="K15" s="27">
        <v>0</v>
      </c>
      <c r="L15" s="27">
        <f>"0,0000"</f>
        <v>0</v>
      </c>
      <c r="M15" s="27"/>
    </row>
    <row r="16" spans="1:13" ht="12.75">
      <c r="A16" s="29" t="s">
        <v>190</v>
      </c>
      <c r="B16" s="29" t="s">
        <v>191</v>
      </c>
      <c r="C16" s="29" t="s">
        <v>192</v>
      </c>
      <c r="D16" s="29">
        <f>"0,6645"</f>
        <v>0</v>
      </c>
      <c r="E16" s="29" t="s">
        <v>16</v>
      </c>
      <c r="F16" s="29" t="s">
        <v>193</v>
      </c>
      <c r="G16" s="30" t="s">
        <v>194</v>
      </c>
      <c r="H16" s="29" t="s">
        <v>195</v>
      </c>
      <c r="I16" s="29" t="s">
        <v>184</v>
      </c>
      <c r="J16" s="30"/>
      <c r="K16" s="29">
        <v>135</v>
      </c>
      <c r="L16" s="29">
        <f>"89,7075"</f>
        <v>0</v>
      </c>
      <c r="M16" s="29"/>
    </row>
    <row r="17" spans="1:13" ht="12.75">
      <c r="A17" s="29" t="s">
        <v>56</v>
      </c>
      <c r="B17" s="29" t="s">
        <v>57</v>
      </c>
      <c r="C17" s="29" t="s">
        <v>58</v>
      </c>
      <c r="D17" s="29">
        <f>"0,6559"</f>
        <v>0</v>
      </c>
      <c r="E17" s="29" t="s">
        <v>16</v>
      </c>
      <c r="F17" s="29" t="s">
        <v>59</v>
      </c>
      <c r="G17" s="29" t="s">
        <v>196</v>
      </c>
      <c r="H17" s="29" t="s">
        <v>197</v>
      </c>
      <c r="I17" s="30" t="s">
        <v>195</v>
      </c>
      <c r="J17" s="30"/>
      <c r="K17" s="29">
        <v>127.5</v>
      </c>
      <c r="L17" s="29">
        <f>"83,6273"</f>
        <v>0</v>
      </c>
      <c r="M17" s="29"/>
    </row>
    <row r="18" spans="1:13" ht="12.75">
      <c r="A18" s="29" t="s">
        <v>198</v>
      </c>
      <c r="B18" s="29" t="s">
        <v>199</v>
      </c>
      <c r="C18" s="29" t="s">
        <v>200</v>
      </c>
      <c r="D18" s="29">
        <f>"0,6828"</f>
        <v>0</v>
      </c>
      <c r="E18" s="29" t="s">
        <v>16</v>
      </c>
      <c r="F18" s="29" t="s">
        <v>201</v>
      </c>
      <c r="G18" s="29" t="s">
        <v>202</v>
      </c>
      <c r="H18" s="30" t="s">
        <v>189</v>
      </c>
      <c r="I18" s="29" t="s">
        <v>189</v>
      </c>
      <c r="J18" s="30"/>
      <c r="K18" s="29">
        <v>117.5</v>
      </c>
      <c r="L18" s="29">
        <f>"80,2290"</f>
        <v>0</v>
      </c>
      <c r="M18" s="29"/>
    </row>
    <row r="19" spans="1:13" ht="12.75">
      <c r="A19" s="31" t="s">
        <v>203</v>
      </c>
      <c r="B19" s="31" t="s">
        <v>204</v>
      </c>
      <c r="C19" s="31" t="s">
        <v>205</v>
      </c>
      <c r="D19" s="31">
        <f>"0,6805"</f>
        <v>0</v>
      </c>
      <c r="E19" s="31" t="s">
        <v>16</v>
      </c>
      <c r="F19" s="31" t="s">
        <v>46</v>
      </c>
      <c r="G19" s="32" t="s">
        <v>197</v>
      </c>
      <c r="H19" s="32" t="s">
        <v>184</v>
      </c>
      <c r="I19" s="32" t="s">
        <v>184</v>
      </c>
      <c r="J19" s="32"/>
      <c r="K19" s="31">
        <v>0</v>
      </c>
      <c r="L19" s="31">
        <f>"0,0000"</f>
        <v>0</v>
      </c>
      <c r="M19" s="31"/>
    </row>
    <row r="21" spans="1:12" ht="15">
      <c r="A21" s="26" t="s">
        <v>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3" ht="12.75">
      <c r="A22" s="27" t="s">
        <v>206</v>
      </c>
      <c r="B22" s="27" t="s">
        <v>207</v>
      </c>
      <c r="C22" s="27" t="s">
        <v>208</v>
      </c>
      <c r="D22" s="27">
        <f>"0,6376"</f>
        <v>0</v>
      </c>
      <c r="E22" s="27" t="s">
        <v>16</v>
      </c>
      <c r="F22" s="27" t="s">
        <v>209</v>
      </c>
      <c r="G22" s="27" t="s">
        <v>197</v>
      </c>
      <c r="H22" s="27" t="s">
        <v>210</v>
      </c>
      <c r="I22" s="27" t="s">
        <v>211</v>
      </c>
      <c r="J22" s="28"/>
      <c r="K22" s="27">
        <v>152.5</v>
      </c>
      <c r="L22" s="27">
        <f>"97,2340"</f>
        <v>0</v>
      </c>
      <c r="M22" s="27"/>
    </row>
    <row r="23" spans="1:13" ht="12.75">
      <c r="A23" s="29" t="s">
        <v>212</v>
      </c>
      <c r="B23" s="29" t="s">
        <v>213</v>
      </c>
      <c r="C23" s="29" t="s">
        <v>214</v>
      </c>
      <c r="D23" s="29">
        <f>"0,6198"</f>
        <v>0</v>
      </c>
      <c r="E23" s="29" t="s">
        <v>39</v>
      </c>
      <c r="F23" s="29" t="s">
        <v>215</v>
      </c>
      <c r="G23" s="29" t="s">
        <v>216</v>
      </c>
      <c r="H23" s="30" t="s">
        <v>217</v>
      </c>
      <c r="I23" s="30" t="s">
        <v>217</v>
      </c>
      <c r="J23" s="30"/>
      <c r="K23" s="29">
        <v>142.5</v>
      </c>
      <c r="L23" s="29">
        <f>"88,3215"</f>
        <v>0</v>
      </c>
      <c r="M23" s="29"/>
    </row>
    <row r="24" spans="1:13" ht="12.75">
      <c r="A24" s="29" t="s">
        <v>218</v>
      </c>
      <c r="B24" s="29" t="s">
        <v>219</v>
      </c>
      <c r="C24" s="29" t="s">
        <v>220</v>
      </c>
      <c r="D24" s="29">
        <f>"0,6224"</f>
        <v>0</v>
      </c>
      <c r="E24" s="29" t="s">
        <v>79</v>
      </c>
      <c r="F24" s="29" t="s">
        <v>221</v>
      </c>
      <c r="G24" s="30" t="s">
        <v>184</v>
      </c>
      <c r="H24" s="30" t="s">
        <v>184</v>
      </c>
      <c r="I24" s="29" t="s">
        <v>184</v>
      </c>
      <c r="J24" s="30"/>
      <c r="K24" s="29">
        <v>135</v>
      </c>
      <c r="L24" s="29">
        <f>"84,0240"</f>
        <v>0</v>
      </c>
      <c r="M24" s="29"/>
    </row>
    <row r="25" spans="1:13" ht="12.75">
      <c r="A25" s="29" t="s">
        <v>222</v>
      </c>
      <c r="B25" s="29" t="s">
        <v>223</v>
      </c>
      <c r="C25" s="29" t="s">
        <v>224</v>
      </c>
      <c r="D25" s="29">
        <f>"0,6262"</f>
        <v>0</v>
      </c>
      <c r="E25" s="29" t="s">
        <v>16</v>
      </c>
      <c r="F25" s="29" t="s">
        <v>225</v>
      </c>
      <c r="G25" s="30" t="s">
        <v>197</v>
      </c>
      <c r="H25" s="30" t="s">
        <v>197</v>
      </c>
      <c r="I25" s="29" t="s">
        <v>197</v>
      </c>
      <c r="J25" s="30"/>
      <c r="K25" s="29">
        <v>127.5</v>
      </c>
      <c r="L25" s="29">
        <f>"79,8405"</f>
        <v>0</v>
      </c>
      <c r="M25" s="29"/>
    </row>
    <row r="26" spans="1:13" ht="12.75">
      <c r="A26" s="31" t="s">
        <v>226</v>
      </c>
      <c r="B26" s="31" t="s">
        <v>227</v>
      </c>
      <c r="C26" s="31" t="s">
        <v>15</v>
      </c>
      <c r="D26" s="31">
        <f>"0,6246"</f>
        <v>0</v>
      </c>
      <c r="E26" s="31" t="s">
        <v>16</v>
      </c>
      <c r="F26" s="31" t="s">
        <v>209</v>
      </c>
      <c r="G26" s="31" t="s">
        <v>189</v>
      </c>
      <c r="H26" s="31" t="s">
        <v>228</v>
      </c>
      <c r="I26" s="32" t="s">
        <v>197</v>
      </c>
      <c r="J26" s="32"/>
      <c r="K26" s="31">
        <v>122.5</v>
      </c>
      <c r="L26" s="31">
        <f>"76,5135"</f>
        <v>0</v>
      </c>
      <c r="M26" s="31"/>
    </row>
    <row r="28" spans="1:12" ht="15">
      <c r="A28" s="26" t="s">
        <v>84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3" ht="12.75">
      <c r="A29" s="27" t="s">
        <v>229</v>
      </c>
      <c r="B29" s="27" t="s">
        <v>230</v>
      </c>
      <c r="C29" s="27" t="s">
        <v>231</v>
      </c>
      <c r="D29" s="27">
        <f>"0,5901"</f>
        <v>0</v>
      </c>
      <c r="E29" s="27" t="s">
        <v>16</v>
      </c>
      <c r="F29" s="27" t="s">
        <v>46</v>
      </c>
      <c r="G29" s="27" t="s">
        <v>197</v>
      </c>
      <c r="H29" s="27" t="s">
        <v>232</v>
      </c>
      <c r="I29" s="27" t="s">
        <v>184</v>
      </c>
      <c r="J29" s="28"/>
      <c r="K29" s="27">
        <v>135</v>
      </c>
      <c r="L29" s="27">
        <f>"79,6635"</f>
        <v>0</v>
      </c>
      <c r="M29" s="27"/>
    </row>
    <row r="30" spans="1:13" ht="12.75">
      <c r="A30" s="31" t="s">
        <v>233</v>
      </c>
      <c r="B30" s="31" t="s">
        <v>234</v>
      </c>
      <c r="C30" s="31" t="s">
        <v>235</v>
      </c>
      <c r="D30" s="31">
        <f>"0,5982"</f>
        <v>0</v>
      </c>
      <c r="E30" s="31" t="s">
        <v>16</v>
      </c>
      <c r="F30" s="31" t="s">
        <v>236</v>
      </c>
      <c r="G30" s="31" t="s">
        <v>196</v>
      </c>
      <c r="H30" s="31" t="s">
        <v>232</v>
      </c>
      <c r="I30" s="32" t="s">
        <v>184</v>
      </c>
      <c r="J30" s="32"/>
      <c r="K30" s="31">
        <v>132.5</v>
      </c>
      <c r="L30" s="31">
        <f>"79,2615"</f>
        <v>0</v>
      </c>
      <c r="M30" s="31"/>
    </row>
    <row r="32" spans="1:12" ht="15">
      <c r="A32" s="26" t="s">
        <v>101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3" ht="12.75">
      <c r="A33" s="27" t="s">
        <v>237</v>
      </c>
      <c r="B33" s="27" t="s">
        <v>238</v>
      </c>
      <c r="C33" s="27" t="s">
        <v>239</v>
      </c>
      <c r="D33" s="27">
        <f>"0,5573"</f>
        <v>0</v>
      </c>
      <c r="E33" s="27" t="s">
        <v>240</v>
      </c>
      <c r="F33" s="27" t="s">
        <v>241</v>
      </c>
      <c r="G33" s="27" t="s">
        <v>75</v>
      </c>
      <c r="H33" s="28" t="s">
        <v>60</v>
      </c>
      <c r="I33" s="28" t="s">
        <v>60</v>
      </c>
      <c r="J33" s="28"/>
      <c r="K33" s="27">
        <v>190</v>
      </c>
      <c r="L33" s="27">
        <f>"105,8870"</f>
        <v>0</v>
      </c>
      <c r="M33" s="27"/>
    </row>
    <row r="34" spans="1:13" ht="12.75">
      <c r="A34" s="29" t="s">
        <v>237</v>
      </c>
      <c r="B34" s="29" t="s">
        <v>242</v>
      </c>
      <c r="C34" s="29" t="s">
        <v>239</v>
      </c>
      <c r="D34" s="29">
        <f>"0,5673"</f>
        <v>0</v>
      </c>
      <c r="E34" s="29" t="s">
        <v>240</v>
      </c>
      <c r="F34" s="29" t="s">
        <v>241</v>
      </c>
      <c r="G34" s="29" t="s">
        <v>75</v>
      </c>
      <c r="H34" s="30" t="s">
        <v>60</v>
      </c>
      <c r="I34" s="30" t="s">
        <v>60</v>
      </c>
      <c r="J34" s="30"/>
      <c r="K34" s="29">
        <v>190</v>
      </c>
      <c r="L34" s="29">
        <f>"107,7930"</f>
        <v>0</v>
      </c>
      <c r="M34" s="29"/>
    </row>
    <row r="35" spans="1:13" ht="12.75">
      <c r="A35" s="29" t="s">
        <v>243</v>
      </c>
      <c r="B35" s="29" t="s">
        <v>244</v>
      </c>
      <c r="C35" s="29" t="s">
        <v>245</v>
      </c>
      <c r="D35" s="29">
        <f>"0,5735"</f>
        <v>0</v>
      </c>
      <c r="E35" s="29" t="s">
        <v>16</v>
      </c>
      <c r="F35" s="29" t="s">
        <v>80</v>
      </c>
      <c r="G35" s="29" t="s">
        <v>246</v>
      </c>
      <c r="H35" s="30" t="s">
        <v>48</v>
      </c>
      <c r="I35" s="29" t="s">
        <v>247</v>
      </c>
      <c r="J35" s="30"/>
      <c r="K35" s="29">
        <v>182.5</v>
      </c>
      <c r="L35" s="29">
        <f>"104,6720"</f>
        <v>0</v>
      </c>
      <c r="M35" s="29"/>
    </row>
    <row r="36" spans="1:13" ht="12.75">
      <c r="A36" s="31" t="s">
        <v>248</v>
      </c>
      <c r="B36" s="31" t="s">
        <v>249</v>
      </c>
      <c r="C36" s="31" t="s">
        <v>250</v>
      </c>
      <c r="D36" s="31">
        <f>"0,5981"</f>
        <v>0</v>
      </c>
      <c r="E36" s="31" t="s">
        <v>16</v>
      </c>
      <c r="F36" s="31" t="s">
        <v>251</v>
      </c>
      <c r="G36" s="31" t="s">
        <v>54</v>
      </c>
      <c r="H36" s="31" t="s">
        <v>55</v>
      </c>
      <c r="I36" s="32" t="s">
        <v>47</v>
      </c>
      <c r="J36" s="32"/>
      <c r="K36" s="31">
        <v>160</v>
      </c>
      <c r="L36" s="31">
        <f>"95,6950"</f>
        <v>0</v>
      </c>
      <c r="M36" s="31"/>
    </row>
    <row r="38" spans="1:12" ht="15">
      <c r="A38" s="26" t="s">
        <v>105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3" ht="12.75">
      <c r="A39" s="27" t="s">
        <v>252</v>
      </c>
      <c r="B39" s="27" t="s">
        <v>253</v>
      </c>
      <c r="C39" s="27" t="s">
        <v>254</v>
      </c>
      <c r="D39" s="27">
        <f>"0,5510"</f>
        <v>0</v>
      </c>
      <c r="E39" s="27" t="s">
        <v>240</v>
      </c>
      <c r="F39" s="27" t="s">
        <v>241</v>
      </c>
      <c r="G39" s="27" t="s">
        <v>255</v>
      </c>
      <c r="H39" s="27" t="s">
        <v>256</v>
      </c>
      <c r="I39" s="27" t="s">
        <v>67</v>
      </c>
      <c r="J39" s="28"/>
      <c r="K39" s="27">
        <v>185</v>
      </c>
      <c r="L39" s="27">
        <f>"101,9350"</f>
        <v>0</v>
      </c>
      <c r="M39" s="27"/>
    </row>
    <row r="40" spans="1:13" ht="12.75">
      <c r="A40" s="31" t="s">
        <v>257</v>
      </c>
      <c r="B40" s="31" t="s">
        <v>258</v>
      </c>
      <c r="C40" s="31" t="s">
        <v>259</v>
      </c>
      <c r="D40" s="31">
        <f>"1,0017"</f>
        <v>0</v>
      </c>
      <c r="E40" s="31" t="s">
        <v>39</v>
      </c>
      <c r="F40" s="31" t="s">
        <v>260</v>
      </c>
      <c r="G40" s="31" t="s">
        <v>210</v>
      </c>
      <c r="H40" s="32" t="s">
        <v>54</v>
      </c>
      <c r="I40" s="32"/>
      <c r="J40" s="32"/>
      <c r="K40" s="31">
        <v>145</v>
      </c>
      <c r="L40" s="31">
        <f>"145,2453"</f>
        <v>0</v>
      </c>
      <c r="M40" s="31"/>
    </row>
    <row r="42" spans="1:12" ht="15">
      <c r="A42" s="26" t="s">
        <v>152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3" ht="12.75">
      <c r="A43" s="27" t="s">
        <v>261</v>
      </c>
      <c r="B43" s="27" t="s">
        <v>262</v>
      </c>
      <c r="C43" s="27" t="s">
        <v>263</v>
      </c>
      <c r="D43" s="27">
        <f>"0,5296"</f>
        <v>0</v>
      </c>
      <c r="E43" s="27" t="s">
        <v>16</v>
      </c>
      <c r="F43" s="27" t="s">
        <v>80</v>
      </c>
      <c r="G43" s="28" t="s">
        <v>256</v>
      </c>
      <c r="H43" s="28" t="s">
        <v>256</v>
      </c>
      <c r="I43" s="28" t="s">
        <v>48</v>
      </c>
      <c r="J43" s="28"/>
      <c r="K43" s="27">
        <v>0</v>
      </c>
      <c r="L43" s="27">
        <f>"0,0000"</f>
        <v>0</v>
      </c>
      <c r="M43" s="27"/>
    </row>
    <row r="44" spans="1:13" ht="12.75">
      <c r="A44" s="29" t="s">
        <v>264</v>
      </c>
      <c r="B44" s="29" t="s">
        <v>265</v>
      </c>
      <c r="C44" s="29" t="s">
        <v>266</v>
      </c>
      <c r="D44" s="29">
        <f>"0,5281"</f>
        <v>0</v>
      </c>
      <c r="E44" s="29" t="s">
        <v>16</v>
      </c>
      <c r="F44" s="29" t="s">
        <v>46</v>
      </c>
      <c r="G44" s="29" t="s">
        <v>267</v>
      </c>
      <c r="H44" s="29" t="s">
        <v>55</v>
      </c>
      <c r="I44" s="30" t="s">
        <v>268</v>
      </c>
      <c r="J44" s="30"/>
      <c r="K44" s="29">
        <v>160</v>
      </c>
      <c r="L44" s="29">
        <f>"84,4960"</f>
        <v>0</v>
      </c>
      <c r="M44" s="29"/>
    </row>
    <row r="45" spans="1:13" ht="12.75">
      <c r="A45" s="29" t="s">
        <v>269</v>
      </c>
      <c r="B45" s="29" t="s">
        <v>270</v>
      </c>
      <c r="C45" s="29" t="s">
        <v>271</v>
      </c>
      <c r="D45" s="29">
        <f>"0,5823"</f>
        <v>0</v>
      </c>
      <c r="E45" s="29" t="s">
        <v>16</v>
      </c>
      <c r="F45" s="29" t="s">
        <v>46</v>
      </c>
      <c r="G45" s="29" t="s">
        <v>47</v>
      </c>
      <c r="H45" s="29" t="s">
        <v>246</v>
      </c>
      <c r="I45" s="30" t="s">
        <v>256</v>
      </c>
      <c r="J45" s="30"/>
      <c r="K45" s="29">
        <v>172.5</v>
      </c>
      <c r="L45" s="29">
        <f>"100,4389"</f>
        <v>0</v>
      </c>
      <c r="M45" s="29"/>
    </row>
    <row r="46" spans="1:13" ht="12.75">
      <c r="A46" s="29" t="s">
        <v>272</v>
      </c>
      <c r="B46" s="29" t="s">
        <v>273</v>
      </c>
      <c r="C46" s="29" t="s">
        <v>274</v>
      </c>
      <c r="D46" s="29">
        <f>"0,6695"</f>
        <v>0</v>
      </c>
      <c r="E46" s="29" t="s">
        <v>39</v>
      </c>
      <c r="F46" s="29" t="s">
        <v>46</v>
      </c>
      <c r="G46" s="29" t="s">
        <v>246</v>
      </c>
      <c r="H46" s="30" t="s">
        <v>275</v>
      </c>
      <c r="I46" s="30" t="s">
        <v>275</v>
      </c>
      <c r="J46" s="30"/>
      <c r="K46" s="29">
        <v>172.5</v>
      </c>
      <c r="L46" s="29">
        <f>"115,4802"</f>
        <v>0</v>
      </c>
      <c r="M46" s="29"/>
    </row>
    <row r="47" spans="1:13" ht="12.75">
      <c r="A47" s="31" t="s">
        <v>276</v>
      </c>
      <c r="B47" s="31" t="s">
        <v>277</v>
      </c>
      <c r="C47" s="31" t="s">
        <v>278</v>
      </c>
      <c r="D47" s="31">
        <f>"0,7897"</f>
        <v>0</v>
      </c>
      <c r="E47" s="31" t="s">
        <v>16</v>
      </c>
      <c r="F47" s="31" t="s">
        <v>215</v>
      </c>
      <c r="G47" s="31" t="s">
        <v>279</v>
      </c>
      <c r="H47" s="32" t="s">
        <v>202</v>
      </c>
      <c r="I47" s="32" t="s">
        <v>202</v>
      </c>
      <c r="J47" s="32"/>
      <c r="K47" s="31">
        <v>105</v>
      </c>
      <c r="L47" s="31">
        <f>"82,9214"</f>
        <v>0</v>
      </c>
      <c r="M47" s="31"/>
    </row>
    <row r="49" spans="1:12" ht="15">
      <c r="A49" s="26" t="s">
        <v>280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3" ht="12.75">
      <c r="A50" s="16" t="s">
        <v>281</v>
      </c>
      <c r="B50" s="16" t="s">
        <v>282</v>
      </c>
      <c r="C50" s="16" t="s">
        <v>283</v>
      </c>
      <c r="D50" s="16">
        <f>"0,5184"</f>
        <v>0</v>
      </c>
      <c r="E50" s="16" t="s">
        <v>16</v>
      </c>
      <c r="F50" s="16" t="s">
        <v>284</v>
      </c>
      <c r="G50" s="16" t="s">
        <v>275</v>
      </c>
      <c r="H50" s="16" t="s">
        <v>247</v>
      </c>
      <c r="I50" s="17" t="s">
        <v>49</v>
      </c>
      <c r="J50" s="17"/>
      <c r="K50" s="16">
        <v>182.5</v>
      </c>
      <c r="L50" s="16">
        <f>"94,6007"</f>
        <v>0</v>
      </c>
      <c r="M50" s="16"/>
    </row>
    <row r="52" ht="15">
      <c r="E52" s="18" t="s">
        <v>20</v>
      </c>
    </row>
    <row r="53" ht="15">
      <c r="E53" s="18" t="s">
        <v>21</v>
      </c>
    </row>
    <row r="54" ht="15">
      <c r="E54" s="18" t="s">
        <v>22</v>
      </c>
    </row>
    <row r="55" ht="12.75">
      <c r="E55" s="1" t="s">
        <v>23</v>
      </c>
    </row>
    <row r="56" ht="12.75">
      <c r="E56" s="1" t="s">
        <v>24</v>
      </c>
    </row>
    <row r="57" ht="12.75">
      <c r="E57" s="1" t="s">
        <v>25</v>
      </c>
    </row>
    <row r="60" spans="1:2" ht="17.25">
      <c r="A60" s="19" t="s">
        <v>26</v>
      </c>
      <c r="B60" s="19"/>
    </row>
    <row r="61" spans="1:2" ht="15">
      <c r="A61" s="20" t="s">
        <v>285</v>
      </c>
      <c r="B61" s="20"/>
    </row>
    <row r="62" spans="1:2" ht="14.25">
      <c r="A62" s="21" t="s">
        <v>28</v>
      </c>
      <c r="B62" s="22"/>
    </row>
    <row r="63" spans="1:5" ht="13.5">
      <c r="A63" s="23" t="s">
        <v>1</v>
      </c>
      <c r="B63" s="23" t="s">
        <v>29</v>
      </c>
      <c r="C63" s="23" t="s">
        <v>30</v>
      </c>
      <c r="D63" s="23" t="s">
        <v>8</v>
      </c>
      <c r="E63" s="23" t="s">
        <v>31</v>
      </c>
    </row>
    <row r="64" spans="1:5" ht="12.75">
      <c r="A64" s="24" t="s">
        <v>168</v>
      </c>
      <c r="B64" s="1" t="s">
        <v>28</v>
      </c>
      <c r="C64" s="1" t="s">
        <v>286</v>
      </c>
      <c r="D64" s="1" t="s">
        <v>173</v>
      </c>
      <c r="E64" s="25" t="s">
        <v>287</v>
      </c>
    </row>
    <row r="65" spans="1:5" ht="12.75">
      <c r="A65" s="24" t="s">
        <v>175</v>
      </c>
      <c r="B65" s="1" t="s">
        <v>28</v>
      </c>
      <c r="C65" s="1" t="s">
        <v>288</v>
      </c>
      <c r="D65" s="1" t="s">
        <v>178</v>
      </c>
      <c r="E65" s="25" t="s">
        <v>289</v>
      </c>
    </row>
    <row r="68" spans="1:2" ht="15">
      <c r="A68" s="20" t="s">
        <v>27</v>
      </c>
      <c r="B68" s="20"/>
    </row>
    <row r="69" spans="1:2" ht="14.25">
      <c r="A69" s="21" t="s">
        <v>28</v>
      </c>
      <c r="B69" s="22"/>
    </row>
    <row r="70" spans="1:5" ht="13.5">
      <c r="A70" s="23" t="s">
        <v>1</v>
      </c>
      <c r="B70" s="23" t="s">
        <v>29</v>
      </c>
      <c r="C70" s="23" t="s">
        <v>30</v>
      </c>
      <c r="D70" s="23" t="s">
        <v>8</v>
      </c>
      <c r="E70" s="23" t="s">
        <v>31</v>
      </c>
    </row>
    <row r="71" spans="1:5" ht="12.75">
      <c r="A71" s="24" t="s">
        <v>237</v>
      </c>
      <c r="B71" s="1" t="s">
        <v>28</v>
      </c>
      <c r="C71" s="1" t="s">
        <v>139</v>
      </c>
      <c r="D71" s="1" t="s">
        <v>75</v>
      </c>
      <c r="E71" s="25" t="s">
        <v>290</v>
      </c>
    </row>
    <row r="72" spans="1:5" ht="12.75">
      <c r="A72" s="24" t="s">
        <v>252</v>
      </c>
      <c r="B72" s="1" t="s">
        <v>28</v>
      </c>
      <c r="C72" s="1" t="s">
        <v>133</v>
      </c>
      <c r="D72" s="1" t="s">
        <v>67</v>
      </c>
      <c r="E72" s="25" t="s">
        <v>291</v>
      </c>
    </row>
    <row r="73" spans="1:5" ht="12.75">
      <c r="A73" s="24" t="s">
        <v>206</v>
      </c>
      <c r="B73" s="1" t="s">
        <v>28</v>
      </c>
      <c r="C73" s="1" t="s">
        <v>32</v>
      </c>
      <c r="D73" s="1" t="s">
        <v>211</v>
      </c>
      <c r="E73" s="25" t="s">
        <v>292</v>
      </c>
    </row>
    <row r="74" spans="1:5" ht="12.75">
      <c r="A74" s="24" t="s">
        <v>190</v>
      </c>
      <c r="B74" s="1" t="s">
        <v>28</v>
      </c>
      <c r="C74" s="1" t="s">
        <v>131</v>
      </c>
      <c r="D74" s="1" t="s">
        <v>184</v>
      </c>
      <c r="E74" s="25" t="s">
        <v>293</v>
      </c>
    </row>
    <row r="75" spans="1:5" ht="12.75">
      <c r="A75" s="24" t="s">
        <v>212</v>
      </c>
      <c r="B75" s="1" t="s">
        <v>28</v>
      </c>
      <c r="C75" s="1" t="s">
        <v>32</v>
      </c>
      <c r="D75" s="1" t="s">
        <v>216</v>
      </c>
      <c r="E75" s="25" t="s">
        <v>294</v>
      </c>
    </row>
    <row r="76" spans="1:5" ht="12.75">
      <c r="A76" s="24" t="s">
        <v>218</v>
      </c>
      <c r="B76" s="1" t="s">
        <v>28</v>
      </c>
      <c r="C76" s="1" t="s">
        <v>32</v>
      </c>
      <c r="D76" s="1" t="s">
        <v>184</v>
      </c>
      <c r="E76" s="25" t="s">
        <v>295</v>
      </c>
    </row>
    <row r="77" spans="1:5" ht="12.75">
      <c r="A77" s="24" t="s">
        <v>56</v>
      </c>
      <c r="B77" s="1" t="s">
        <v>28</v>
      </c>
      <c r="C77" s="1" t="s">
        <v>131</v>
      </c>
      <c r="D77" s="1" t="s">
        <v>197</v>
      </c>
      <c r="E77" s="25" t="s">
        <v>296</v>
      </c>
    </row>
    <row r="78" spans="1:5" ht="12.75">
      <c r="A78" s="24" t="s">
        <v>198</v>
      </c>
      <c r="B78" s="1" t="s">
        <v>28</v>
      </c>
      <c r="C78" s="1" t="s">
        <v>131</v>
      </c>
      <c r="D78" s="1" t="s">
        <v>189</v>
      </c>
      <c r="E78" s="25" t="s">
        <v>297</v>
      </c>
    </row>
    <row r="79" spans="1:5" ht="12.75">
      <c r="A79" s="24" t="s">
        <v>222</v>
      </c>
      <c r="B79" s="1" t="s">
        <v>28</v>
      </c>
      <c r="C79" s="1" t="s">
        <v>32</v>
      </c>
      <c r="D79" s="1" t="s">
        <v>197</v>
      </c>
      <c r="E79" s="25" t="s">
        <v>298</v>
      </c>
    </row>
    <row r="80" spans="1:5" ht="12.75">
      <c r="A80" s="24" t="s">
        <v>229</v>
      </c>
      <c r="B80" s="1" t="s">
        <v>28</v>
      </c>
      <c r="C80" s="1" t="s">
        <v>125</v>
      </c>
      <c r="D80" s="1" t="s">
        <v>184</v>
      </c>
      <c r="E80" s="25" t="s">
        <v>299</v>
      </c>
    </row>
    <row r="81" spans="1:5" ht="12.75">
      <c r="A81" s="24" t="s">
        <v>233</v>
      </c>
      <c r="B81" s="1" t="s">
        <v>28</v>
      </c>
      <c r="C81" s="1" t="s">
        <v>125</v>
      </c>
      <c r="D81" s="1" t="s">
        <v>232</v>
      </c>
      <c r="E81" s="25" t="s">
        <v>300</v>
      </c>
    </row>
    <row r="82" spans="1:5" ht="12.75">
      <c r="A82" s="24" t="s">
        <v>226</v>
      </c>
      <c r="B82" s="1" t="s">
        <v>28</v>
      </c>
      <c r="C82" s="1" t="s">
        <v>32</v>
      </c>
      <c r="D82" s="1" t="s">
        <v>228</v>
      </c>
      <c r="E82" s="25" t="s">
        <v>301</v>
      </c>
    </row>
    <row r="84" spans="1:2" ht="14.25">
      <c r="A84" s="21" t="s">
        <v>141</v>
      </c>
      <c r="B84" s="22"/>
    </row>
    <row r="85" spans="1:5" ht="13.5">
      <c r="A85" s="23" t="s">
        <v>1</v>
      </c>
      <c r="B85" s="23" t="s">
        <v>29</v>
      </c>
      <c r="C85" s="23" t="s">
        <v>30</v>
      </c>
      <c r="D85" s="23" t="s">
        <v>8</v>
      </c>
      <c r="E85" s="23" t="s">
        <v>31</v>
      </c>
    </row>
    <row r="86" spans="1:5" ht="12.75">
      <c r="A86" s="24" t="s">
        <v>257</v>
      </c>
      <c r="B86" s="1" t="s">
        <v>142</v>
      </c>
      <c r="C86" s="1" t="s">
        <v>133</v>
      </c>
      <c r="D86" s="1" t="s">
        <v>210</v>
      </c>
      <c r="E86" s="25" t="s">
        <v>302</v>
      </c>
    </row>
    <row r="87" spans="1:5" ht="12.75">
      <c r="A87" s="24" t="s">
        <v>272</v>
      </c>
      <c r="B87" s="1" t="s">
        <v>164</v>
      </c>
      <c r="C87" s="1" t="s">
        <v>162</v>
      </c>
      <c r="D87" s="1" t="s">
        <v>246</v>
      </c>
      <c r="E87" s="25" t="s">
        <v>303</v>
      </c>
    </row>
    <row r="88" spans="1:5" ht="12.75">
      <c r="A88" s="24" t="s">
        <v>237</v>
      </c>
      <c r="B88" s="1" t="s">
        <v>144</v>
      </c>
      <c r="C88" s="1" t="s">
        <v>139</v>
      </c>
      <c r="D88" s="1" t="s">
        <v>75</v>
      </c>
      <c r="E88" s="25" t="s">
        <v>304</v>
      </c>
    </row>
    <row r="89" spans="1:5" ht="12.75">
      <c r="A89" s="24" t="s">
        <v>243</v>
      </c>
      <c r="B89" s="1" t="s">
        <v>144</v>
      </c>
      <c r="C89" s="1" t="s">
        <v>139</v>
      </c>
      <c r="D89" s="1" t="s">
        <v>247</v>
      </c>
      <c r="E89" s="25" t="s">
        <v>305</v>
      </c>
    </row>
    <row r="90" spans="1:5" ht="12.75">
      <c r="A90" s="24" t="s">
        <v>269</v>
      </c>
      <c r="B90" s="1" t="s">
        <v>306</v>
      </c>
      <c r="C90" s="1" t="s">
        <v>162</v>
      </c>
      <c r="D90" s="1" t="s">
        <v>246</v>
      </c>
      <c r="E90" s="25" t="s">
        <v>307</v>
      </c>
    </row>
    <row r="91" spans="1:5" ht="12.75">
      <c r="A91" s="24" t="s">
        <v>248</v>
      </c>
      <c r="B91" s="1" t="s">
        <v>306</v>
      </c>
      <c r="C91" s="1" t="s">
        <v>139</v>
      </c>
      <c r="D91" s="1" t="s">
        <v>55</v>
      </c>
      <c r="E91" s="25" t="s">
        <v>308</v>
      </c>
    </row>
    <row r="92" spans="1:5" ht="12.75">
      <c r="A92" s="24" t="s">
        <v>281</v>
      </c>
      <c r="B92" s="1" t="s">
        <v>144</v>
      </c>
      <c r="C92" s="1" t="s">
        <v>309</v>
      </c>
      <c r="D92" s="1" t="s">
        <v>247</v>
      </c>
      <c r="E92" s="25" t="s">
        <v>310</v>
      </c>
    </row>
    <row r="93" spans="1:5" ht="12.75">
      <c r="A93" s="24" t="s">
        <v>264</v>
      </c>
      <c r="B93" s="1" t="s">
        <v>144</v>
      </c>
      <c r="C93" s="1" t="s">
        <v>162</v>
      </c>
      <c r="D93" s="1" t="s">
        <v>55</v>
      </c>
      <c r="E93" s="25" t="s">
        <v>311</v>
      </c>
    </row>
    <row r="94" spans="1:5" ht="12.75">
      <c r="A94" s="24" t="s">
        <v>276</v>
      </c>
      <c r="B94" s="1" t="s">
        <v>312</v>
      </c>
      <c r="C94" s="1" t="s">
        <v>162</v>
      </c>
      <c r="D94" s="1" t="s">
        <v>279</v>
      </c>
      <c r="E94" s="25" t="s">
        <v>313</v>
      </c>
    </row>
  </sheetData>
  <sheetProtection selectLockedCells="1" selectUnlockedCells="1"/>
  <mergeCells count="21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4:L14"/>
    <mergeCell ref="A21:L21"/>
    <mergeCell ref="A28:L28"/>
    <mergeCell ref="A32:L32"/>
    <mergeCell ref="A38:L38"/>
    <mergeCell ref="A42:L42"/>
    <mergeCell ref="A49:L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30.50390625" style="1" customWidth="1"/>
    <col min="3" max="3" width="7.50390625" style="1" customWidth="1"/>
    <col min="4" max="4" width="6.50390625" style="1" customWidth="1"/>
    <col min="5" max="5" width="21.375" style="1" customWidth="1"/>
    <col min="6" max="6" width="27.25390625" style="1" customWidth="1"/>
    <col min="7" max="9" width="5.50390625" style="1" customWidth="1"/>
    <col min="10" max="10" width="4.50390625" style="1" customWidth="1"/>
    <col min="11" max="13" width="5.50390625" style="1" customWidth="1"/>
    <col min="14" max="14" width="4.50390625" style="1" customWidth="1"/>
    <col min="15" max="17" width="5.50390625" style="1" customWidth="1"/>
    <col min="18" max="18" width="4.50390625" style="1" customWidth="1"/>
    <col min="19" max="19" width="6.375" style="1" customWidth="1"/>
    <col min="20" max="20" width="8.50390625" style="1" customWidth="1"/>
    <col min="21" max="21" width="12.375" style="1" customWidth="1"/>
  </cols>
  <sheetData>
    <row r="1" spans="1:21" s="3" customFormat="1" ht="15" customHeight="1">
      <c r="A1" s="2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58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315</v>
      </c>
      <c r="H3" s="8"/>
      <c r="I3" s="8"/>
      <c r="J3" s="8"/>
      <c r="K3" s="8" t="s">
        <v>167</v>
      </c>
      <c r="L3" s="8"/>
      <c r="M3" s="8"/>
      <c r="N3" s="8"/>
      <c r="O3" s="8" t="s">
        <v>7</v>
      </c>
      <c r="P3" s="8"/>
      <c r="Q3" s="8"/>
      <c r="R3" s="8"/>
      <c r="S3" s="9" t="s">
        <v>8</v>
      </c>
      <c r="T3" s="6" t="s">
        <v>9</v>
      </c>
      <c r="U3" s="10" t="s">
        <v>10</v>
      </c>
    </row>
    <row r="4" spans="1:21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12">
        <v>1</v>
      </c>
      <c r="L4" s="13">
        <v>2</v>
      </c>
      <c r="M4" s="13">
        <v>3</v>
      </c>
      <c r="N4" s="14" t="s">
        <v>11</v>
      </c>
      <c r="O4" s="12">
        <v>1</v>
      </c>
      <c r="P4" s="13">
        <v>2</v>
      </c>
      <c r="Q4" s="13">
        <v>3</v>
      </c>
      <c r="R4" s="14" t="s">
        <v>11</v>
      </c>
      <c r="S4" s="9"/>
      <c r="T4" s="6"/>
      <c r="U4" s="10"/>
    </row>
    <row r="5" spans="1:20" ht="15">
      <c r="A5" s="15" t="s">
        <v>174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1" ht="12.75">
      <c r="A6" s="27" t="s">
        <v>316</v>
      </c>
      <c r="B6" s="27" t="s">
        <v>317</v>
      </c>
      <c r="C6" s="27" t="s">
        <v>318</v>
      </c>
      <c r="D6" s="27">
        <f>"0,9263"</f>
        <v>0</v>
      </c>
      <c r="E6" s="27" t="s">
        <v>16</v>
      </c>
      <c r="F6" s="27" t="s">
        <v>46</v>
      </c>
      <c r="G6" s="27" t="s">
        <v>319</v>
      </c>
      <c r="H6" s="27" t="s">
        <v>320</v>
      </c>
      <c r="I6" s="27" t="s">
        <v>321</v>
      </c>
      <c r="J6" s="28"/>
      <c r="K6" s="27" t="s">
        <v>322</v>
      </c>
      <c r="L6" s="27" t="s">
        <v>323</v>
      </c>
      <c r="M6" s="28" t="s">
        <v>178</v>
      </c>
      <c r="N6" s="28"/>
      <c r="O6" s="27" t="s">
        <v>189</v>
      </c>
      <c r="P6" s="27" t="s">
        <v>194</v>
      </c>
      <c r="Q6" s="27" t="s">
        <v>196</v>
      </c>
      <c r="R6" s="28"/>
      <c r="S6" s="27">
        <v>280</v>
      </c>
      <c r="T6" s="27">
        <f>"259,3640"</f>
        <v>0</v>
      </c>
      <c r="U6" s="27"/>
    </row>
    <row r="7" spans="1:21" ht="12.75">
      <c r="A7" s="29" t="s">
        <v>324</v>
      </c>
      <c r="B7" s="29" t="s">
        <v>325</v>
      </c>
      <c r="C7" s="29" t="s">
        <v>326</v>
      </c>
      <c r="D7" s="29">
        <f>"0,9390"</f>
        <v>0</v>
      </c>
      <c r="E7" s="29" t="s">
        <v>16</v>
      </c>
      <c r="F7" s="29" t="s">
        <v>46</v>
      </c>
      <c r="G7" s="29" t="s">
        <v>327</v>
      </c>
      <c r="H7" s="30" t="s">
        <v>328</v>
      </c>
      <c r="I7" s="29" t="s">
        <v>173</v>
      </c>
      <c r="J7" s="30"/>
      <c r="K7" s="29" t="s">
        <v>329</v>
      </c>
      <c r="L7" s="29" t="s">
        <v>330</v>
      </c>
      <c r="M7" s="30" t="s">
        <v>322</v>
      </c>
      <c r="N7" s="30"/>
      <c r="O7" s="30" t="s">
        <v>279</v>
      </c>
      <c r="P7" s="29" t="s">
        <v>279</v>
      </c>
      <c r="Q7" s="29" t="s">
        <v>331</v>
      </c>
      <c r="R7" s="30"/>
      <c r="S7" s="29">
        <v>235</v>
      </c>
      <c r="T7" s="29">
        <f>"220,6650"</f>
        <v>0</v>
      </c>
      <c r="U7" s="29"/>
    </row>
    <row r="8" spans="1:21" ht="12.75">
      <c r="A8" s="31" t="s">
        <v>332</v>
      </c>
      <c r="B8" s="31" t="s">
        <v>333</v>
      </c>
      <c r="C8" s="31" t="s">
        <v>334</v>
      </c>
      <c r="D8" s="31">
        <f>"0,9333"</f>
        <v>0</v>
      </c>
      <c r="E8" s="31" t="s">
        <v>16</v>
      </c>
      <c r="F8" s="31" t="s">
        <v>40</v>
      </c>
      <c r="G8" s="31" t="s">
        <v>322</v>
      </c>
      <c r="H8" s="31" t="s">
        <v>335</v>
      </c>
      <c r="I8" s="32" t="s">
        <v>336</v>
      </c>
      <c r="J8" s="32"/>
      <c r="K8" s="31" t="s">
        <v>337</v>
      </c>
      <c r="L8" s="31" t="s">
        <v>338</v>
      </c>
      <c r="M8" s="32" t="s">
        <v>339</v>
      </c>
      <c r="N8" s="32"/>
      <c r="O8" s="31" t="s">
        <v>335</v>
      </c>
      <c r="P8" s="31" t="s">
        <v>171</v>
      </c>
      <c r="Q8" s="31" t="s">
        <v>172</v>
      </c>
      <c r="R8" s="32"/>
      <c r="S8" s="31">
        <v>165</v>
      </c>
      <c r="T8" s="31">
        <f>"153,9945"</f>
        <v>0</v>
      </c>
      <c r="U8" s="31"/>
    </row>
    <row r="10" spans="1:20" ht="15">
      <c r="A10" s="26" t="s">
        <v>42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1" ht="12.75">
      <c r="A11" s="16" t="s">
        <v>340</v>
      </c>
      <c r="B11" s="16" t="s">
        <v>341</v>
      </c>
      <c r="C11" s="16" t="s">
        <v>342</v>
      </c>
      <c r="D11" s="16">
        <f>"0,8462"</f>
        <v>0</v>
      </c>
      <c r="E11" s="16" t="s">
        <v>16</v>
      </c>
      <c r="F11" s="16" t="s">
        <v>46</v>
      </c>
      <c r="G11" s="17" t="s">
        <v>41</v>
      </c>
      <c r="H11" s="16" t="s">
        <v>41</v>
      </c>
      <c r="I11" s="16" t="s">
        <v>194</v>
      </c>
      <c r="J11" s="17"/>
      <c r="K11" s="17" t="s">
        <v>328</v>
      </c>
      <c r="L11" s="16" t="s">
        <v>328</v>
      </c>
      <c r="M11" s="17" t="s">
        <v>172</v>
      </c>
      <c r="N11" s="17"/>
      <c r="O11" s="16" t="s">
        <v>189</v>
      </c>
      <c r="P11" s="16" t="s">
        <v>196</v>
      </c>
      <c r="Q11" s="17" t="s">
        <v>195</v>
      </c>
      <c r="R11" s="17"/>
      <c r="S11" s="16">
        <v>317.5</v>
      </c>
      <c r="T11" s="16">
        <f>"268,6685"</f>
        <v>0</v>
      </c>
      <c r="U11" s="16"/>
    </row>
    <row r="13" spans="1:20" ht="15">
      <c r="A13" s="26" t="s">
        <v>12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1" ht="12.75">
      <c r="A14" s="16" t="s">
        <v>343</v>
      </c>
      <c r="B14" s="16" t="s">
        <v>344</v>
      </c>
      <c r="C14" s="16" t="s">
        <v>345</v>
      </c>
      <c r="D14" s="16">
        <f>"0,6257"</f>
        <v>0</v>
      </c>
      <c r="E14" s="16" t="s">
        <v>16</v>
      </c>
      <c r="F14" s="16" t="s">
        <v>46</v>
      </c>
      <c r="G14" s="17" t="s">
        <v>268</v>
      </c>
      <c r="H14" s="16" t="s">
        <v>246</v>
      </c>
      <c r="I14" s="16" t="s">
        <v>48</v>
      </c>
      <c r="J14" s="17"/>
      <c r="K14" s="16" t="s">
        <v>41</v>
      </c>
      <c r="L14" s="16" t="s">
        <v>194</v>
      </c>
      <c r="M14" s="17" t="s">
        <v>196</v>
      </c>
      <c r="N14" s="17"/>
      <c r="O14" s="16" t="s">
        <v>120</v>
      </c>
      <c r="P14" s="16" t="s">
        <v>100</v>
      </c>
      <c r="Q14" s="16" t="s">
        <v>346</v>
      </c>
      <c r="R14" s="17"/>
      <c r="S14" s="16">
        <v>527.5</v>
      </c>
      <c r="T14" s="16">
        <f>"330,0567"</f>
        <v>0</v>
      </c>
      <c r="U14" s="16"/>
    </row>
    <row r="16" spans="1:20" ht="15">
      <c r="A16" s="26" t="s">
        <v>84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1" ht="12.75">
      <c r="A17" s="27" t="s">
        <v>347</v>
      </c>
      <c r="B17" s="27" t="s">
        <v>348</v>
      </c>
      <c r="C17" s="27" t="s">
        <v>349</v>
      </c>
      <c r="D17" s="27">
        <f>"0,5865"</f>
        <v>0</v>
      </c>
      <c r="E17" s="27" t="s">
        <v>39</v>
      </c>
      <c r="F17" s="27" t="s">
        <v>46</v>
      </c>
      <c r="G17" s="27" t="s">
        <v>75</v>
      </c>
      <c r="H17" s="27" t="s">
        <v>68</v>
      </c>
      <c r="I17" s="28"/>
      <c r="J17" s="28"/>
      <c r="K17" s="27" t="s">
        <v>210</v>
      </c>
      <c r="L17" s="27" t="s">
        <v>54</v>
      </c>
      <c r="M17" s="27" t="s">
        <v>267</v>
      </c>
      <c r="N17" s="28"/>
      <c r="O17" s="27" t="s">
        <v>116</v>
      </c>
      <c r="P17" s="27" t="s">
        <v>350</v>
      </c>
      <c r="Q17" s="28" t="s">
        <v>83</v>
      </c>
      <c r="R17" s="28"/>
      <c r="S17" s="27">
        <v>595</v>
      </c>
      <c r="T17" s="27">
        <f>"348,9675"</f>
        <v>0</v>
      </c>
      <c r="U17" s="27" t="s">
        <v>351</v>
      </c>
    </row>
    <row r="18" spans="1:21" ht="12.75">
      <c r="A18" s="29" t="s">
        <v>94</v>
      </c>
      <c r="B18" s="29" t="s">
        <v>95</v>
      </c>
      <c r="C18" s="29" t="s">
        <v>96</v>
      </c>
      <c r="D18" s="29">
        <f>"0,5910"</f>
        <v>0</v>
      </c>
      <c r="E18" s="29" t="s">
        <v>16</v>
      </c>
      <c r="F18" s="29" t="s">
        <v>97</v>
      </c>
      <c r="G18" s="29" t="s">
        <v>48</v>
      </c>
      <c r="H18" s="29" t="s">
        <v>68</v>
      </c>
      <c r="I18" s="30" t="s">
        <v>352</v>
      </c>
      <c r="J18" s="30"/>
      <c r="K18" s="29" t="s">
        <v>353</v>
      </c>
      <c r="L18" s="30" t="s">
        <v>217</v>
      </c>
      <c r="M18" s="30" t="s">
        <v>217</v>
      </c>
      <c r="N18" s="30"/>
      <c r="O18" s="30" t="s">
        <v>115</v>
      </c>
      <c r="P18" s="29" t="s">
        <v>120</v>
      </c>
      <c r="Q18" s="30" t="s">
        <v>346</v>
      </c>
      <c r="R18" s="30"/>
      <c r="S18" s="29">
        <v>552.5</v>
      </c>
      <c r="T18" s="29">
        <f>"326,5275"</f>
        <v>0</v>
      </c>
      <c r="U18" s="29"/>
    </row>
    <row r="19" spans="1:21" ht="12.75">
      <c r="A19" s="31" t="s">
        <v>354</v>
      </c>
      <c r="B19" s="31" t="s">
        <v>355</v>
      </c>
      <c r="C19" s="31" t="s">
        <v>356</v>
      </c>
      <c r="D19" s="31">
        <f>"0,8121"</f>
        <v>0</v>
      </c>
      <c r="E19" s="31" t="s">
        <v>16</v>
      </c>
      <c r="F19" s="31" t="s">
        <v>80</v>
      </c>
      <c r="G19" s="31" t="s">
        <v>184</v>
      </c>
      <c r="H19" s="31" t="s">
        <v>210</v>
      </c>
      <c r="I19" s="31" t="s">
        <v>211</v>
      </c>
      <c r="J19" s="32"/>
      <c r="K19" s="31" t="s">
        <v>320</v>
      </c>
      <c r="L19" s="31" t="s">
        <v>357</v>
      </c>
      <c r="M19" s="31" t="s">
        <v>358</v>
      </c>
      <c r="N19" s="32"/>
      <c r="O19" s="31" t="s">
        <v>55</v>
      </c>
      <c r="P19" s="31" t="s">
        <v>256</v>
      </c>
      <c r="Q19" s="32"/>
      <c r="R19" s="32"/>
      <c r="S19" s="31">
        <v>435</v>
      </c>
      <c r="T19" s="31">
        <f>"353,2766"</f>
        <v>0</v>
      </c>
      <c r="U19" s="31"/>
    </row>
    <row r="21" spans="1:20" ht="15">
      <c r="A21" s="26" t="s">
        <v>101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1" ht="12.75">
      <c r="A22" s="27" t="s">
        <v>359</v>
      </c>
      <c r="B22" s="27" t="s">
        <v>148</v>
      </c>
      <c r="C22" s="27" t="s">
        <v>360</v>
      </c>
      <c r="D22" s="27">
        <f>"0,5651"</f>
        <v>0</v>
      </c>
      <c r="E22" s="27" t="s">
        <v>79</v>
      </c>
      <c r="F22" s="27" t="s">
        <v>80</v>
      </c>
      <c r="G22" s="27" t="s">
        <v>256</v>
      </c>
      <c r="H22" s="27" t="s">
        <v>67</v>
      </c>
      <c r="I22" s="28" t="s">
        <v>68</v>
      </c>
      <c r="J22" s="28"/>
      <c r="K22" s="27" t="s">
        <v>353</v>
      </c>
      <c r="L22" s="28" t="s">
        <v>210</v>
      </c>
      <c r="M22" s="28" t="s">
        <v>210</v>
      </c>
      <c r="N22" s="28"/>
      <c r="O22" s="27" t="s">
        <v>121</v>
      </c>
      <c r="P22" s="27" t="s">
        <v>82</v>
      </c>
      <c r="Q22" s="28" t="s">
        <v>83</v>
      </c>
      <c r="R22" s="28"/>
      <c r="S22" s="27">
        <v>560</v>
      </c>
      <c r="T22" s="27">
        <f>"316,4560"</f>
        <v>0</v>
      </c>
      <c r="U22" s="27"/>
    </row>
    <row r="23" spans="1:21" ht="12.75">
      <c r="A23" s="31" t="s">
        <v>361</v>
      </c>
      <c r="B23" s="31" t="s">
        <v>362</v>
      </c>
      <c r="C23" s="31" t="s">
        <v>363</v>
      </c>
      <c r="D23" s="31">
        <f>"0,5681"</f>
        <v>0</v>
      </c>
      <c r="E23" s="31" t="s">
        <v>73</v>
      </c>
      <c r="F23" s="31" t="s">
        <v>364</v>
      </c>
      <c r="G23" s="31" t="s">
        <v>47</v>
      </c>
      <c r="H23" s="32" t="s">
        <v>75</v>
      </c>
      <c r="I23" s="31" t="s">
        <v>60</v>
      </c>
      <c r="J23" s="32"/>
      <c r="K23" s="32" t="s">
        <v>365</v>
      </c>
      <c r="L23" s="31" t="s">
        <v>210</v>
      </c>
      <c r="M23" s="31" t="s">
        <v>267</v>
      </c>
      <c r="N23" s="32"/>
      <c r="O23" s="31" t="s">
        <v>75</v>
      </c>
      <c r="P23" s="31" t="s">
        <v>120</v>
      </c>
      <c r="Q23" s="32" t="s">
        <v>81</v>
      </c>
      <c r="R23" s="32"/>
      <c r="S23" s="31">
        <v>565</v>
      </c>
      <c r="T23" s="31">
        <f>"320,9765"</f>
        <v>0</v>
      </c>
      <c r="U23" s="31"/>
    </row>
    <row r="25" spans="1:20" ht="15">
      <c r="A25" s="26" t="s">
        <v>105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1" ht="12.75">
      <c r="A26" s="27" t="s">
        <v>366</v>
      </c>
      <c r="B26" s="27" t="s">
        <v>367</v>
      </c>
      <c r="C26" s="27" t="s">
        <v>368</v>
      </c>
      <c r="D26" s="27">
        <f>"0,5376"</f>
        <v>0</v>
      </c>
      <c r="E26" s="27" t="s">
        <v>16</v>
      </c>
      <c r="F26" s="27" t="s">
        <v>46</v>
      </c>
      <c r="G26" s="27" t="s">
        <v>48</v>
      </c>
      <c r="H26" s="27" t="s">
        <v>115</v>
      </c>
      <c r="I26" s="27" t="s">
        <v>92</v>
      </c>
      <c r="J26" s="28"/>
      <c r="K26" s="27" t="s">
        <v>47</v>
      </c>
      <c r="L26" s="27" t="s">
        <v>67</v>
      </c>
      <c r="M26" s="28" t="s">
        <v>369</v>
      </c>
      <c r="N26" s="28"/>
      <c r="O26" s="27" t="s">
        <v>350</v>
      </c>
      <c r="P26" s="27" t="s">
        <v>93</v>
      </c>
      <c r="Q26" s="27" t="s">
        <v>370</v>
      </c>
      <c r="R26" s="28"/>
      <c r="S26" s="27">
        <v>687.5</v>
      </c>
      <c r="T26" s="27">
        <f>"369,6000"</f>
        <v>0</v>
      </c>
      <c r="U26" s="27"/>
    </row>
    <row r="27" spans="1:21" ht="12.75">
      <c r="A27" s="31" t="s">
        <v>106</v>
      </c>
      <c r="B27" s="31" t="s">
        <v>107</v>
      </c>
      <c r="C27" s="31" t="s">
        <v>108</v>
      </c>
      <c r="D27" s="31">
        <f>"0,5398"</f>
        <v>0</v>
      </c>
      <c r="E27" s="31" t="s">
        <v>39</v>
      </c>
      <c r="F27" s="31" t="s">
        <v>17</v>
      </c>
      <c r="G27" s="32" t="s">
        <v>116</v>
      </c>
      <c r="H27" s="31" t="s">
        <v>116</v>
      </c>
      <c r="I27" s="32" t="s">
        <v>350</v>
      </c>
      <c r="J27" s="32"/>
      <c r="K27" s="31" t="s">
        <v>47</v>
      </c>
      <c r="L27" s="31" t="s">
        <v>48</v>
      </c>
      <c r="M27" s="32" t="s">
        <v>75</v>
      </c>
      <c r="N27" s="32"/>
      <c r="O27" s="32" t="s">
        <v>109</v>
      </c>
      <c r="P27" s="32" t="s">
        <v>109</v>
      </c>
      <c r="Q27" s="31" t="s">
        <v>109</v>
      </c>
      <c r="R27" s="32"/>
      <c r="S27" s="31">
        <v>675</v>
      </c>
      <c r="T27" s="31">
        <f>"364,3650"</f>
        <v>0</v>
      </c>
      <c r="U27" s="31"/>
    </row>
    <row r="29" ht="15">
      <c r="E29" s="18" t="s">
        <v>20</v>
      </c>
    </row>
    <row r="30" ht="15">
      <c r="E30" s="18" t="s">
        <v>21</v>
      </c>
    </row>
    <row r="31" ht="15">
      <c r="E31" s="18" t="s">
        <v>22</v>
      </c>
    </row>
    <row r="32" ht="12.75">
      <c r="E32" s="1" t="s">
        <v>23</v>
      </c>
    </row>
    <row r="33" ht="12.75">
      <c r="E33" s="1" t="s">
        <v>24</v>
      </c>
    </row>
    <row r="34" ht="12.75">
      <c r="E34" s="1" t="s">
        <v>25</v>
      </c>
    </row>
    <row r="37" spans="1:2" ht="17.25">
      <c r="A37" s="19" t="s">
        <v>26</v>
      </c>
      <c r="B37" s="19"/>
    </row>
    <row r="38" spans="1:2" ht="15">
      <c r="A38" s="20" t="s">
        <v>285</v>
      </c>
      <c r="B38" s="20"/>
    </row>
    <row r="39" spans="1:2" ht="14.25">
      <c r="A39" s="21" t="s">
        <v>127</v>
      </c>
      <c r="B39" s="22"/>
    </row>
    <row r="40" spans="1:5" ht="13.5">
      <c r="A40" s="23" t="s">
        <v>1</v>
      </c>
      <c r="B40" s="23" t="s">
        <v>29</v>
      </c>
      <c r="C40" s="23" t="s">
        <v>30</v>
      </c>
      <c r="D40" s="23" t="s">
        <v>8</v>
      </c>
      <c r="E40" s="23" t="s">
        <v>31</v>
      </c>
    </row>
    <row r="41" spans="1:5" ht="12.75">
      <c r="A41" s="24" t="s">
        <v>340</v>
      </c>
      <c r="B41" s="1" t="s">
        <v>128</v>
      </c>
      <c r="C41" s="1" t="s">
        <v>129</v>
      </c>
      <c r="D41" s="1" t="s">
        <v>371</v>
      </c>
      <c r="E41" s="25" t="s">
        <v>372</v>
      </c>
    </row>
    <row r="43" spans="1:2" ht="14.25">
      <c r="A43" s="21" t="s">
        <v>28</v>
      </c>
      <c r="B43" s="22"/>
    </row>
    <row r="44" spans="1:5" ht="13.5">
      <c r="A44" s="23" t="s">
        <v>1</v>
      </c>
      <c r="B44" s="23" t="s">
        <v>29</v>
      </c>
      <c r="C44" s="23" t="s">
        <v>30</v>
      </c>
      <c r="D44" s="23" t="s">
        <v>8</v>
      </c>
      <c r="E44" s="23" t="s">
        <v>31</v>
      </c>
    </row>
    <row r="45" spans="1:5" ht="12.75">
      <c r="A45" s="24" t="s">
        <v>316</v>
      </c>
      <c r="B45" s="1" t="s">
        <v>28</v>
      </c>
      <c r="C45" s="1" t="s">
        <v>288</v>
      </c>
      <c r="D45" s="1" t="s">
        <v>110</v>
      </c>
      <c r="E45" s="25" t="s">
        <v>373</v>
      </c>
    </row>
    <row r="46" spans="1:5" ht="12.75">
      <c r="A46" s="24" t="s">
        <v>324</v>
      </c>
      <c r="B46" s="1" t="s">
        <v>28</v>
      </c>
      <c r="C46" s="1" t="s">
        <v>288</v>
      </c>
      <c r="D46" s="1" t="s">
        <v>92</v>
      </c>
      <c r="E46" s="25" t="s">
        <v>374</v>
      </c>
    </row>
    <row r="47" spans="1:5" ht="12.75">
      <c r="A47" s="24" t="s">
        <v>332</v>
      </c>
      <c r="B47" s="1" t="s">
        <v>28</v>
      </c>
      <c r="C47" s="1" t="s">
        <v>288</v>
      </c>
      <c r="D47" s="1" t="s">
        <v>268</v>
      </c>
      <c r="E47" s="25" t="s">
        <v>375</v>
      </c>
    </row>
    <row r="50" spans="1:2" ht="15">
      <c r="A50" s="20" t="s">
        <v>27</v>
      </c>
      <c r="B50" s="20"/>
    </row>
    <row r="51" spans="1:2" ht="14.25">
      <c r="A51" s="21" t="s">
        <v>127</v>
      </c>
      <c r="B51" s="22"/>
    </row>
    <row r="52" spans="1:5" ht="13.5">
      <c r="A52" s="23" t="s">
        <v>1</v>
      </c>
      <c r="B52" s="23" t="s">
        <v>29</v>
      </c>
      <c r="C52" s="23" t="s">
        <v>30</v>
      </c>
      <c r="D52" s="23" t="s">
        <v>8</v>
      </c>
      <c r="E52" s="23" t="s">
        <v>31</v>
      </c>
    </row>
    <row r="53" spans="1:5" ht="12.75">
      <c r="A53" s="24" t="s">
        <v>343</v>
      </c>
      <c r="B53" s="1" t="s">
        <v>128</v>
      </c>
      <c r="C53" s="1" t="s">
        <v>32</v>
      </c>
      <c r="D53" s="1" t="s">
        <v>376</v>
      </c>
      <c r="E53" s="25" t="s">
        <v>377</v>
      </c>
    </row>
    <row r="55" spans="1:2" ht="14.25">
      <c r="A55" s="21" t="s">
        <v>28</v>
      </c>
      <c r="B55" s="22"/>
    </row>
    <row r="56" spans="1:5" ht="13.5">
      <c r="A56" s="23" t="s">
        <v>1</v>
      </c>
      <c r="B56" s="23" t="s">
        <v>29</v>
      </c>
      <c r="C56" s="23" t="s">
        <v>30</v>
      </c>
      <c r="D56" s="23" t="s">
        <v>8</v>
      </c>
      <c r="E56" s="23" t="s">
        <v>31</v>
      </c>
    </row>
    <row r="57" spans="1:5" ht="12.75">
      <c r="A57" s="24" t="s">
        <v>366</v>
      </c>
      <c r="B57" s="1" t="s">
        <v>28</v>
      </c>
      <c r="C57" s="1" t="s">
        <v>133</v>
      </c>
      <c r="D57" s="1" t="s">
        <v>378</v>
      </c>
      <c r="E57" s="25" t="s">
        <v>379</v>
      </c>
    </row>
    <row r="58" spans="1:5" ht="12.75">
      <c r="A58" s="24" t="s">
        <v>106</v>
      </c>
      <c r="B58" s="1" t="s">
        <v>28</v>
      </c>
      <c r="C58" s="1" t="s">
        <v>133</v>
      </c>
      <c r="D58" s="1" t="s">
        <v>380</v>
      </c>
      <c r="E58" s="25" t="s">
        <v>381</v>
      </c>
    </row>
    <row r="59" spans="1:5" ht="12.75">
      <c r="A59" s="24" t="s">
        <v>347</v>
      </c>
      <c r="B59" s="1" t="s">
        <v>28</v>
      </c>
      <c r="C59" s="1" t="s">
        <v>125</v>
      </c>
      <c r="D59" s="1" t="s">
        <v>382</v>
      </c>
      <c r="E59" s="25" t="s">
        <v>383</v>
      </c>
    </row>
    <row r="60" spans="1:5" ht="12.75">
      <c r="A60" s="24" t="s">
        <v>94</v>
      </c>
      <c r="B60" s="1" t="s">
        <v>28</v>
      </c>
      <c r="C60" s="1" t="s">
        <v>125</v>
      </c>
      <c r="D60" s="1" t="s">
        <v>384</v>
      </c>
      <c r="E60" s="25" t="s">
        <v>385</v>
      </c>
    </row>
    <row r="61" spans="1:5" ht="12.75">
      <c r="A61" s="24" t="s">
        <v>359</v>
      </c>
      <c r="B61" s="1" t="s">
        <v>28</v>
      </c>
      <c r="C61" s="1" t="s">
        <v>139</v>
      </c>
      <c r="D61" s="1" t="s">
        <v>386</v>
      </c>
      <c r="E61" s="25" t="s">
        <v>387</v>
      </c>
    </row>
    <row r="63" spans="1:2" ht="14.25">
      <c r="A63" s="21" t="s">
        <v>141</v>
      </c>
      <c r="B63" s="22"/>
    </row>
    <row r="64" spans="1:5" ht="13.5">
      <c r="A64" s="23" t="s">
        <v>1</v>
      </c>
      <c r="B64" s="23" t="s">
        <v>29</v>
      </c>
      <c r="C64" s="23" t="s">
        <v>30</v>
      </c>
      <c r="D64" s="23" t="s">
        <v>8</v>
      </c>
      <c r="E64" s="23" t="s">
        <v>31</v>
      </c>
    </row>
    <row r="65" spans="1:5" ht="12.75">
      <c r="A65" s="24" t="s">
        <v>354</v>
      </c>
      <c r="B65" s="1" t="s">
        <v>312</v>
      </c>
      <c r="C65" s="1" t="s">
        <v>125</v>
      </c>
      <c r="D65" s="1" t="s">
        <v>388</v>
      </c>
      <c r="E65" s="25" t="s">
        <v>389</v>
      </c>
    </row>
  </sheetData>
  <sheetProtection selectLockedCells="1" selectUnlockedCells="1"/>
  <mergeCells count="19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10:T10"/>
    <mergeCell ref="A13:T13"/>
    <mergeCell ref="A16:T16"/>
    <mergeCell ref="A21:T21"/>
    <mergeCell ref="A25:T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35.6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7.125" style="1" customWidth="1"/>
  </cols>
  <sheetData>
    <row r="1" spans="1:13" s="3" customFormat="1" ht="15" customHeight="1">
      <c r="A1" s="2" t="s">
        <v>390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7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167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174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391</v>
      </c>
      <c r="B6" s="16" t="s">
        <v>392</v>
      </c>
      <c r="C6" s="16" t="s">
        <v>393</v>
      </c>
      <c r="D6" s="16">
        <f>"0,9538"</f>
        <v>0</v>
      </c>
      <c r="E6" s="16" t="s">
        <v>16</v>
      </c>
      <c r="F6" s="16" t="s">
        <v>46</v>
      </c>
      <c r="G6" s="17" t="s">
        <v>336</v>
      </c>
      <c r="H6" s="16" t="s">
        <v>171</v>
      </c>
      <c r="I6" s="16" t="s">
        <v>172</v>
      </c>
      <c r="J6" s="17"/>
      <c r="K6" s="16">
        <v>75</v>
      </c>
      <c r="L6" s="16">
        <f>"71,5350"</f>
        <v>0</v>
      </c>
      <c r="M6" s="16"/>
    </row>
    <row r="8" spans="1:12" ht="15">
      <c r="A8" s="26" t="s">
        <v>174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 ht="12.75">
      <c r="A9" s="16" t="s">
        <v>394</v>
      </c>
      <c r="B9" s="16" t="s">
        <v>395</v>
      </c>
      <c r="C9" s="16" t="s">
        <v>396</v>
      </c>
      <c r="D9" s="16">
        <f>"0,9092"</f>
        <v>0</v>
      </c>
      <c r="E9" s="16" t="s">
        <v>39</v>
      </c>
      <c r="F9" s="16" t="s">
        <v>397</v>
      </c>
      <c r="G9" s="16" t="s">
        <v>398</v>
      </c>
      <c r="H9" s="17" t="s">
        <v>319</v>
      </c>
      <c r="I9" s="17" t="s">
        <v>319</v>
      </c>
      <c r="J9" s="17"/>
      <c r="K9" s="16">
        <v>85</v>
      </c>
      <c r="L9" s="16">
        <f>"77,2820"</f>
        <v>0</v>
      </c>
      <c r="M9" s="16"/>
    </row>
    <row r="11" spans="1:12" ht="15">
      <c r="A11" s="26" t="s">
        <v>12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3" ht="12.75">
      <c r="A12" s="16" t="s">
        <v>399</v>
      </c>
      <c r="B12" s="16" t="s">
        <v>400</v>
      </c>
      <c r="C12" s="16" t="s">
        <v>401</v>
      </c>
      <c r="D12" s="16">
        <f>"0,6382"</f>
        <v>0</v>
      </c>
      <c r="E12" s="16" t="s">
        <v>16</v>
      </c>
      <c r="F12" s="16" t="s">
        <v>17</v>
      </c>
      <c r="G12" s="17" t="s">
        <v>54</v>
      </c>
      <c r="H12" s="17" t="s">
        <v>54</v>
      </c>
      <c r="I12" s="16" t="s">
        <v>54</v>
      </c>
      <c r="J12" s="17"/>
      <c r="K12" s="16">
        <v>150</v>
      </c>
      <c r="L12" s="16">
        <f>"95,7300"</f>
        <v>0</v>
      </c>
      <c r="M12" s="16"/>
    </row>
    <row r="14" spans="1:12" ht="15">
      <c r="A14" s="26" t="s">
        <v>101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3" ht="12.75">
      <c r="A15" s="27" t="s">
        <v>402</v>
      </c>
      <c r="B15" s="27" t="s">
        <v>403</v>
      </c>
      <c r="C15" s="27" t="s">
        <v>404</v>
      </c>
      <c r="D15" s="27">
        <f>"0,5568"</f>
        <v>0</v>
      </c>
      <c r="E15" s="27" t="s">
        <v>16</v>
      </c>
      <c r="F15" s="27" t="s">
        <v>405</v>
      </c>
      <c r="G15" s="28" t="s">
        <v>116</v>
      </c>
      <c r="H15" s="28" t="s">
        <v>116</v>
      </c>
      <c r="I15" s="27" t="s">
        <v>116</v>
      </c>
      <c r="J15" s="28"/>
      <c r="K15" s="27">
        <v>220</v>
      </c>
      <c r="L15" s="27">
        <f>"122,4960"</f>
        <v>0</v>
      </c>
      <c r="M15" s="27"/>
    </row>
    <row r="16" spans="1:13" ht="12.75">
      <c r="A16" s="31" t="s">
        <v>406</v>
      </c>
      <c r="B16" s="31" t="s">
        <v>407</v>
      </c>
      <c r="C16" s="31" t="s">
        <v>408</v>
      </c>
      <c r="D16" s="31">
        <f>"0,5540"</f>
        <v>0</v>
      </c>
      <c r="E16" s="31" t="s">
        <v>16</v>
      </c>
      <c r="F16" s="31" t="s">
        <v>409</v>
      </c>
      <c r="G16" s="32" t="s">
        <v>369</v>
      </c>
      <c r="H16" s="31" t="s">
        <v>369</v>
      </c>
      <c r="I16" s="31" t="s">
        <v>410</v>
      </c>
      <c r="J16" s="32"/>
      <c r="K16" s="31">
        <v>197.5</v>
      </c>
      <c r="L16" s="31">
        <f>"109,4150"</f>
        <v>0</v>
      </c>
      <c r="M16" s="31"/>
    </row>
    <row r="18" spans="1:12" ht="15">
      <c r="A18" s="26" t="s">
        <v>105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3" ht="12.75">
      <c r="A19" s="27" t="s">
        <v>411</v>
      </c>
      <c r="B19" s="27" t="s">
        <v>412</v>
      </c>
      <c r="C19" s="27" t="s">
        <v>413</v>
      </c>
      <c r="D19" s="27">
        <f>"0,5495"</f>
        <v>0</v>
      </c>
      <c r="E19" s="27" t="s">
        <v>16</v>
      </c>
      <c r="F19" s="27" t="s">
        <v>414</v>
      </c>
      <c r="G19" s="27" t="s">
        <v>54</v>
      </c>
      <c r="H19" s="27" t="s">
        <v>267</v>
      </c>
      <c r="I19" s="27" t="s">
        <v>268</v>
      </c>
      <c r="J19" s="28"/>
      <c r="K19" s="27">
        <v>165</v>
      </c>
      <c r="L19" s="27">
        <f>"90,6675"</f>
        <v>0</v>
      </c>
      <c r="M19" s="27"/>
    </row>
    <row r="20" spans="1:13" ht="12.75">
      <c r="A20" s="29" t="s">
        <v>415</v>
      </c>
      <c r="B20" s="29" t="s">
        <v>416</v>
      </c>
      <c r="C20" s="29" t="s">
        <v>417</v>
      </c>
      <c r="D20" s="29">
        <f>"0,5452"</f>
        <v>0</v>
      </c>
      <c r="E20" s="29" t="s">
        <v>16</v>
      </c>
      <c r="F20" s="29" t="s">
        <v>46</v>
      </c>
      <c r="G20" s="29" t="s">
        <v>61</v>
      </c>
      <c r="H20" s="29" t="s">
        <v>352</v>
      </c>
      <c r="I20" s="30" t="s">
        <v>115</v>
      </c>
      <c r="J20" s="30"/>
      <c r="K20" s="29">
        <v>207.5</v>
      </c>
      <c r="L20" s="29">
        <f>"113,1290"</f>
        <v>0</v>
      </c>
      <c r="M20" s="29"/>
    </row>
    <row r="21" spans="1:13" ht="12.75">
      <c r="A21" s="29" t="s">
        <v>418</v>
      </c>
      <c r="B21" s="29" t="s">
        <v>419</v>
      </c>
      <c r="C21" s="29" t="s">
        <v>420</v>
      </c>
      <c r="D21" s="29">
        <f>"0,6040"</f>
        <v>0</v>
      </c>
      <c r="E21" s="29" t="s">
        <v>16</v>
      </c>
      <c r="F21" s="29" t="s">
        <v>209</v>
      </c>
      <c r="G21" s="29" t="s">
        <v>55</v>
      </c>
      <c r="H21" s="29" t="s">
        <v>47</v>
      </c>
      <c r="I21" s="30" t="s">
        <v>246</v>
      </c>
      <c r="J21" s="30"/>
      <c r="K21" s="29">
        <v>170</v>
      </c>
      <c r="L21" s="29">
        <f>"102,6735"</f>
        <v>0</v>
      </c>
      <c r="M21" s="29"/>
    </row>
    <row r="22" spans="1:13" ht="12.75">
      <c r="A22" s="31" t="s">
        <v>421</v>
      </c>
      <c r="B22" s="31" t="s">
        <v>422</v>
      </c>
      <c r="C22" s="31" t="s">
        <v>423</v>
      </c>
      <c r="D22" s="31">
        <f>"0,6551"</f>
        <v>0</v>
      </c>
      <c r="E22" s="31" t="s">
        <v>240</v>
      </c>
      <c r="F22" s="31" t="s">
        <v>241</v>
      </c>
      <c r="G22" s="31" t="s">
        <v>75</v>
      </c>
      <c r="H22" s="31" t="s">
        <v>60</v>
      </c>
      <c r="I22" s="31" t="s">
        <v>68</v>
      </c>
      <c r="J22" s="32"/>
      <c r="K22" s="31">
        <v>200</v>
      </c>
      <c r="L22" s="31">
        <f>"131,0193"</f>
        <v>0</v>
      </c>
      <c r="M22" s="31"/>
    </row>
    <row r="24" spans="1:12" ht="15">
      <c r="A24" s="26" t="s">
        <v>152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3" ht="12.75">
      <c r="A25" s="16" t="s">
        <v>158</v>
      </c>
      <c r="B25" s="16" t="s">
        <v>159</v>
      </c>
      <c r="C25" s="16" t="s">
        <v>160</v>
      </c>
      <c r="D25" s="16">
        <f>"0,6805"</f>
        <v>0</v>
      </c>
      <c r="E25" s="16" t="s">
        <v>16</v>
      </c>
      <c r="F25" s="16" t="s">
        <v>161</v>
      </c>
      <c r="G25" s="16" t="s">
        <v>267</v>
      </c>
      <c r="H25" s="16" t="s">
        <v>55</v>
      </c>
      <c r="I25" s="17" t="s">
        <v>268</v>
      </c>
      <c r="J25" s="17"/>
      <c r="K25" s="16">
        <v>160</v>
      </c>
      <c r="L25" s="16">
        <f>"108,8748"</f>
        <v>0</v>
      </c>
      <c r="M25" s="16"/>
    </row>
    <row r="27" ht="15">
      <c r="E27" s="18" t="s">
        <v>20</v>
      </c>
    </row>
    <row r="28" ht="15">
      <c r="E28" s="18" t="s">
        <v>21</v>
      </c>
    </row>
    <row r="29" ht="15">
      <c r="E29" s="18" t="s">
        <v>22</v>
      </c>
    </row>
    <row r="30" ht="12.75">
      <c r="E30" s="1" t="s">
        <v>23</v>
      </c>
    </row>
    <row r="31" ht="12.75">
      <c r="E31" s="1" t="s">
        <v>24</v>
      </c>
    </row>
    <row r="32" ht="12.75">
      <c r="E32" s="1" t="s">
        <v>25</v>
      </c>
    </row>
    <row r="35" spans="1:2" ht="17.25">
      <c r="A35" s="19" t="s">
        <v>26</v>
      </c>
      <c r="B35" s="19"/>
    </row>
    <row r="36" spans="1:2" ht="15">
      <c r="A36" s="20" t="s">
        <v>285</v>
      </c>
      <c r="B36" s="20"/>
    </row>
    <row r="37" spans="1:2" ht="14.25">
      <c r="A37" s="21" t="s">
        <v>28</v>
      </c>
      <c r="B37" s="22"/>
    </row>
    <row r="38" spans="1:5" ht="13.5">
      <c r="A38" s="23" t="s">
        <v>1</v>
      </c>
      <c r="B38" s="23" t="s">
        <v>29</v>
      </c>
      <c r="C38" s="23" t="s">
        <v>30</v>
      </c>
      <c r="D38" s="23" t="s">
        <v>8</v>
      </c>
      <c r="E38" s="23" t="s">
        <v>31</v>
      </c>
    </row>
    <row r="39" spans="1:5" ht="12.75">
      <c r="A39" s="24" t="s">
        <v>391</v>
      </c>
      <c r="B39" s="1" t="s">
        <v>28</v>
      </c>
      <c r="C39" s="1" t="s">
        <v>288</v>
      </c>
      <c r="D39" s="1" t="s">
        <v>172</v>
      </c>
      <c r="E39" s="25" t="s">
        <v>424</v>
      </c>
    </row>
    <row r="42" spans="1:2" ht="15">
      <c r="A42" s="20" t="s">
        <v>27</v>
      </c>
      <c r="B42" s="20"/>
    </row>
    <row r="43" spans="1:2" ht="14.25">
      <c r="A43" s="21" t="s">
        <v>127</v>
      </c>
      <c r="B43" s="22"/>
    </row>
    <row r="44" spans="1:5" ht="13.5">
      <c r="A44" s="23" t="s">
        <v>1</v>
      </c>
      <c r="B44" s="23" t="s">
        <v>29</v>
      </c>
      <c r="C44" s="23" t="s">
        <v>30</v>
      </c>
      <c r="D44" s="23" t="s">
        <v>8</v>
      </c>
      <c r="E44" s="23" t="s">
        <v>31</v>
      </c>
    </row>
    <row r="45" spans="1:5" ht="12.75">
      <c r="A45" s="24" t="s">
        <v>411</v>
      </c>
      <c r="B45" s="1" t="s">
        <v>128</v>
      </c>
      <c r="C45" s="1" t="s">
        <v>133</v>
      </c>
      <c r="D45" s="1" t="s">
        <v>268</v>
      </c>
      <c r="E45" s="25" t="s">
        <v>425</v>
      </c>
    </row>
    <row r="47" spans="1:2" ht="14.25">
      <c r="A47" s="21" t="s">
        <v>28</v>
      </c>
      <c r="B47" s="22"/>
    </row>
    <row r="48" spans="1:5" ht="13.5">
      <c r="A48" s="23" t="s">
        <v>1</v>
      </c>
      <c r="B48" s="23" t="s">
        <v>29</v>
      </c>
      <c r="C48" s="23" t="s">
        <v>30</v>
      </c>
      <c r="D48" s="23" t="s">
        <v>8</v>
      </c>
      <c r="E48" s="23" t="s">
        <v>31</v>
      </c>
    </row>
    <row r="49" spans="1:5" ht="12.75">
      <c r="A49" s="24" t="s">
        <v>402</v>
      </c>
      <c r="B49" s="1" t="s">
        <v>28</v>
      </c>
      <c r="C49" s="1" t="s">
        <v>139</v>
      </c>
      <c r="D49" s="1" t="s">
        <v>116</v>
      </c>
      <c r="E49" s="25" t="s">
        <v>426</v>
      </c>
    </row>
    <row r="50" spans="1:5" ht="12.75">
      <c r="A50" s="24" t="s">
        <v>415</v>
      </c>
      <c r="B50" s="1" t="s">
        <v>28</v>
      </c>
      <c r="C50" s="1" t="s">
        <v>133</v>
      </c>
      <c r="D50" s="1" t="s">
        <v>352</v>
      </c>
      <c r="E50" s="25" t="s">
        <v>427</v>
      </c>
    </row>
    <row r="51" spans="1:5" ht="12.75">
      <c r="A51" s="24" t="s">
        <v>406</v>
      </c>
      <c r="B51" s="1" t="s">
        <v>28</v>
      </c>
      <c r="C51" s="1" t="s">
        <v>139</v>
      </c>
      <c r="D51" s="1" t="s">
        <v>410</v>
      </c>
      <c r="E51" s="25" t="s">
        <v>428</v>
      </c>
    </row>
    <row r="52" spans="1:5" ht="12.75">
      <c r="A52" s="24" t="s">
        <v>399</v>
      </c>
      <c r="B52" s="1" t="s">
        <v>28</v>
      </c>
      <c r="C52" s="1" t="s">
        <v>32</v>
      </c>
      <c r="D52" s="1" t="s">
        <v>54</v>
      </c>
      <c r="E52" s="25" t="s">
        <v>429</v>
      </c>
    </row>
    <row r="53" spans="1:5" ht="12.75">
      <c r="A53" s="24" t="s">
        <v>394</v>
      </c>
      <c r="B53" s="1" t="s">
        <v>28</v>
      </c>
      <c r="C53" s="1" t="s">
        <v>288</v>
      </c>
      <c r="D53" s="1" t="s">
        <v>398</v>
      </c>
      <c r="E53" s="25" t="s">
        <v>430</v>
      </c>
    </row>
    <row r="55" spans="1:2" ht="14.25">
      <c r="A55" s="21" t="s">
        <v>141</v>
      </c>
      <c r="B55" s="22"/>
    </row>
    <row r="56" spans="1:5" ht="13.5">
      <c r="A56" s="23" t="s">
        <v>1</v>
      </c>
      <c r="B56" s="23" t="s">
        <v>29</v>
      </c>
      <c r="C56" s="23" t="s">
        <v>30</v>
      </c>
      <c r="D56" s="23" t="s">
        <v>8</v>
      </c>
      <c r="E56" s="23" t="s">
        <v>31</v>
      </c>
    </row>
    <row r="57" spans="1:5" ht="12.75">
      <c r="A57" s="24" t="s">
        <v>421</v>
      </c>
      <c r="B57" s="1" t="s">
        <v>164</v>
      </c>
      <c r="C57" s="1" t="s">
        <v>133</v>
      </c>
      <c r="D57" s="1" t="s">
        <v>68</v>
      </c>
      <c r="E57" s="25" t="s">
        <v>431</v>
      </c>
    </row>
    <row r="58" spans="1:5" ht="12.75">
      <c r="A58" s="24" t="s">
        <v>158</v>
      </c>
      <c r="B58" s="1" t="s">
        <v>164</v>
      </c>
      <c r="C58" s="1" t="s">
        <v>162</v>
      </c>
      <c r="D58" s="1" t="s">
        <v>55</v>
      </c>
      <c r="E58" s="25" t="s">
        <v>432</v>
      </c>
    </row>
    <row r="59" spans="1:5" ht="12.75">
      <c r="A59" s="24" t="s">
        <v>418</v>
      </c>
      <c r="B59" s="1" t="s">
        <v>306</v>
      </c>
      <c r="C59" s="1" t="s">
        <v>133</v>
      </c>
      <c r="D59" s="1" t="s">
        <v>47</v>
      </c>
      <c r="E59" s="25" t="s">
        <v>433</v>
      </c>
    </row>
  </sheetData>
  <sheetProtection selectLockedCells="1" selectUnlockedCells="1"/>
  <mergeCells count="17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4:L14"/>
    <mergeCell ref="A18:L18"/>
    <mergeCell ref="A24:L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workbookViewId="0" topLeftCell="A1">
      <selection activeCell="E12" sqref="E12"/>
    </sheetView>
  </sheetViews>
  <sheetFormatPr defaultColWidth="9.00390625" defaultRowHeight="12.75"/>
  <cols>
    <col min="1" max="1" width="28.50390625" style="33" customWidth="1"/>
    <col min="2" max="2" width="26.50390625" style="34" customWidth="1"/>
    <col min="3" max="3" width="7.50390625" style="34" customWidth="1"/>
    <col min="4" max="4" width="6.50390625" style="34" customWidth="1"/>
    <col min="5" max="5" width="17.00390625" style="35" customWidth="1"/>
    <col min="6" max="6" width="7.00390625" style="35" customWidth="1"/>
    <col min="7" max="9" width="5.50390625" style="34" customWidth="1"/>
    <col min="10" max="10" width="4.50390625" style="34" customWidth="1"/>
    <col min="11" max="13" width="5.50390625" style="34" customWidth="1"/>
    <col min="14" max="14" width="4.50390625" style="34" customWidth="1"/>
    <col min="15" max="17" width="5.50390625" style="34" customWidth="1"/>
    <col min="18" max="18" width="4.50390625" style="34" customWidth="1"/>
    <col min="19" max="19" width="6.375" style="33" customWidth="1"/>
    <col min="20" max="20" width="8.50390625" style="34" customWidth="1"/>
    <col min="21" max="21" width="7.125" style="35" customWidth="1"/>
    <col min="22" max="16384" width="9.125" style="3" customWidth="1"/>
  </cols>
  <sheetData>
    <row r="1" spans="1:21" ht="15" customHeight="1">
      <c r="A1" s="2" t="s">
        <v>434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7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315</v>
      </c>
      <c r="H3" s="8"/>
      <c r="I3" s="8"/>
      <c r="J3" s="8"/>
      <c r="K3" s="8" t="s">
        <v>167</v>
      </c>
      <c r="L3" s="8"/>
      <c r="M3" s="8"/>
      <c r="N3" s="8"/>
      <c r="O3" s="8" t="s">
        <v>7</v>
      </c>
      <c r="P3" s="8"/>
      <c r="Q3" s="8"/>
      <c r="R3" s="8"/>
      <c r="S3" s="9" t="s">
        <v>8</v>
      </c>
      <c r="T3" s="6" t="s">
        <v>9</v>
      </c>
      <c r="U3" s="10" t="s">
        <v>10</v>
      </c>
    </row>
    <row r="4" spans="1:21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12">
        <v>1</v>
      </c>
      <c r="L4" s="13">
        <v>2</v>
      </c>
      <c r="M4" s="13">
        <v>3</v>
      </c>
      <c r="N4" s="14" t="s">
        <v>11</v>
      </c>
      <c r="O4" s="12">
        <v>1</v>
      </c>
      <c r="P4" s="13">
        <v>2</v>
      </c>
      <c r="Q4" s="13">
        <v>3</v>
      </c>
      <c r="R4" s="14" t="s">
        <v>11</v>
      </c>
      <c r="S4" s="9"/>
      <c r="T4" s="6"/>
      <c r="U4" s="10"/>
    </row>
    <row r="5" spans="1:21" s="34" customFormat="1" ht="15">
      <c r="A5" s="36" t="s">
        <v>50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5"/>
    </row>
    <row r="6" spans="1:21" s="34" customFormat="1" ht="12.75">
      <c r="A6" s="37" t="s">
        <v>435</v>
      </c>
      <c r="B6" s="38" t="s">
        <v>436</v>
      </c>
      <c r="C6" s="38" t="s">
        <v>437</v>
      </c>
      <c r="D6" s="38">
        <f>"0,7764"</f>
        <v>0</v>
      </c>
      <c r="E6" s="39" t="s">
        <v>16</v>
      </c>
      <c r="F6" s="39" t="s">
        <v>46</v>
      </c>
      <c r="G6" s="40" t="s">
        <v>438</v>
      </c>
      <c r="H6" s="40" t="s">
        <v>320</v>
      </c>
      <c r="I6" s="40" t="s">
        <v>320</v>
      </c>
      <c r="J6" s="40"/>
      <c r="K6" s="40" t="s">
        <v>323</v>
      </c>
      <c r="L6" s="40"/>
      <c r="M6" s="40"/>
      <c r="N6" s="40"/>
      <c r="O6" s="40" t="s">
        <v>319</v>
      </c>
      <c r="P6" s="40"/>
      <c r="Q6" s="40"/>
      <c r="R6" s="40"/>
      <c r="S6" s="37">
        <v>0</v>
      </c>
      <c r="T6" s="38">
        <f>"0,0000"</f>
        <v>0</v>
      </c>
      <c r="U6" s="39"/>
    </row>
    <row r="7" spans="1:21" s="34" customFormat="1" ht="12.75">
      <c r="A7" s="33"/>
      <c r="E7" s="35"/>
      <c r="F7" s="35"/>
      <c r="S7" s="33"/>
      <c r="U7" s="35"/>
    </row>
    <row r="8" spans="1:20" ht="15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12.75">
      <c r="A9" s="37" t="s">
        <v>153</v>
      </c>
      <c r="B9" s="38" t="s">
        <v>154</v>
      </c>
      <c r="C9" s="38" t="s">
        <v>155</v>
      </c>
      <c r="D9" s="38">
        <f>"0,5262"</f>
        <v>0</v>
      </c>
      <c r="E9" s="39" t="s">
        <v>16</v>
      </c>
      <c r="F9" s="39" t="s">
        <v>46</v>
      </c>
      <c r="G9" s="40" t="s">
        <v>350</v>
      </c>
      <c r="H9" s="38" t="s">
        <v>156</v>
      </c>
      <c r="I9" s="40" t="s">
        <v>157</v>
      </c>
      <c r="J9" s="40"/>
      <c r="K9" s="38" t="s">
        <v>365</v>
      </c>
      <c r="L9" s="38" t="s">
        <v>54</v>
      </c>
      <c r="M9" s="40" t="s">
        <v>55</v>
      </c>
      <c r="N9" s="40"/>
      <c r="O9" s="38" t="s">
        <v>156</v>
      </c>
      <c r="P9" s="38" t="s">
        <v>157</v>
      </c>
      <c r="Q9" s="40" t="s">
        <v>110</v>
      </c>
      <c r="R9" s="40"/>
      <c r="S9" s="37">
        <v>670</v>
      </c>
      <c r="T9" s="38">
        <f>"352,5540"</f>
        <v>0</v>
      </c>
      <c r="U9" s="39"/>
    </row>
    <row r="11" ht="15">
      <c r="E11" s="42" t="s">
        <v>20</v>
      </c>
    </row>
    <row r="12" ht="15">
      <c r="E12" s="42" t="s">
        <v>21</v>
      </c>
    </row>
    <row r="13" ht="15">
      <c r="E13" s="42" t="s">
        <v>22</v>
      </c>
    </row>
    <row r="14" ht="12.75">
      <c r="E14" s="35" t="s">
        <v>23</v>
      </c>
    </row>
    <row r="15" ht="12.75">
      <c r="E15" s="35" t="s">
        <v>24</v>
      </c>
    </row>
    <row r="16" ht="12.75">
      <c r="E16" s="35" t="s">
        <v>25</v>
      </c>
    </row>
    <row r="19" spans="1:2" ht="17.25">
      <c r="A19" s="43" t="s">
        <v>26</v>
      </c>
      <c r="B19" s="44"/>
    </row>
    <row r="20" spans="1:2" ht="15">
      <c r="A20" s="45" t="s">
        <v>27</v>
      </c>
      <c r="B20" s="46"/>
    </row>
    <row r="21" spans="1:2" ht="14.25">
      <c r="A21" s="47" t="s">
        <v>127</v>
      </c>
      <c r="B21" s="48"/>
    </row>
    <row r="22" spans="1:5" ht="13.5">
      <c r="A22" s="49" t="s">
        <v>1</v>
      </c>
      <c r="B22" s="49" t="s">
        <v>29</v>
      </c>
      <c r="C22" s="49" t="s">
        <v>30</v>
      </c>
      <c r="D22" s="49" t="s">
        <v>8</v>
      </c>
      <c r="E22" s="49" t="s">
        <v>31</v>
      </c>
    </row>
    <row r="23" spans="1:5" ht="12.75">
      <c r="A23" s="50" t="s">
        <v>153</v>
      </c>
      <c r="B23" s="34" t="s">
        <v>128</v>
      </c>
      <c r="C23" s="34" t="s">
        <v>162</v>
      </c>
      <c r="D23" s="34" t="s">
        <v>439</v>
      </c>
      <c r="E23" s="33" t="s">
        <v>440</v>
      </c>
    </row>
  </sheetData>
  <sheetProtection selectLockedCells="1" selectUnlockedCells="1"/>
  <mergeCells count="15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rintOptions/>
  <pageMargins left="0.19027777777777777" right="0.4701388888888889" top="0.45" bottom="0.49027777777777776" header="0.5118055555555555" footer="0.5118055555555555"/>
  <pageSetup fitToHeight="100" fitToWidth="1"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8" sqref="A8"/>
    </sheetView>
  </sheetViews>
  <sheetFormatPr defaultColWidth="9.00390625" defaultRowHeight="12.75"/>
  <cols>
    <col min="1" max="1" width="28.50390625" style="33" customWidth="1"/>
    <col min="2" max="2" width="19.125" style="34" customWidth="1"/>
    <col min="3" max="3" width="7.50390625" style="34" customWidth="1"/>
    <col min="4" max="4" width="6.50390625" style="34" customWidth="1"/>
    <col min="5" max="5" width="17.00390625" style="35" customWidth="1"/>
    <col min="6" max="6" width="19.75390625" style="35" customWidth="1"/>
    <col min="7" max="9" width="5.50390625" style="34" customWidth="1"/>
    <col min="10" max="10" width="4.50390625" style="34" customWidth="1"/>
    <col min="11" max="11" width="6.375" style="33" customWidth="1"/>
    <col min="12" max="12" width="8.50390625" style="34" customWidth="1"/>
    <col min="13" max="13" width="7.125" style="35" customWidth="1"/>
    <col min="14" max="16384" width="9.125" style="3" customWidth="1"/>
  </cols>
  <sheetData>
    <row r="1" spans="1:13" ht="15" customHeight="1">
      <c r="A1" s="2" t="s">
        <v>441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6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167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3" s="34" customFormat="1" ht="15">
      <c r="A5" s="36" t="s">
        <v>42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5"/>
    </row>
    <row r="6" spans="1:13" s="34" customFormat="1" ht="12.75">
      <c r="A6" s="37" t="s">
        <v>442</v>
      </c>
      <c r="B6" s="38" t="s">
        <v>443</v>
      </c>
      <c r="C6" s="38" t="s">
        <v>444</v>
      </c>
      <c r="D6" s="38">
        <f>"0,7522"</f>
        <v>0</v>
      </c>
      <c r="E6" s="39" t="s">
        <v>16</v>
      </c>
      <c r="F6" s="39" t="s">
        <v>445</v>
      </c>
      <c r="G6" s="40" t="s">
        <v>210</v>
      </c>
      <c r="H6" s="40" t="s">
        <v>210</v>
      </c>
      <c r="I6" s="38" t="s">
        <v>210</v>
      </c>
      <c r="J6" s="40"/>
      <c r="K6" s="37">
        <v>145</v>
      </c>
      <c r="L6" s="38">
        <f>"109,0690"</f>
        <v>0</v>
      </c>
      <c r="M6" s="39"/>
    </row>
    <row r="7" spans="1:13" s="34" customFormat="1" ht="12.75">
      <c r="A7" s="33"/>
      <c r="E7" s="35"/>
      <c r="F7" s="35"/>
      <c r="K7" s="33"/>
      <c r="M7" s="35"/>
    </row>
    <row r="8" spans="1:12" ht="15">
      <c r="A8" s="41" t="s">
        <v>84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 ht="12.75">
      <c r="A9" s="37" t="s">
        <v>446</v>
      </c>
      <c r="B9" s="38" t="s">
        <v>447</v>
      </c>
      <c r="C9" s="38" t="s">
        <v>448</v>
      </c>
      <c r="D9" s="38">
        <f>"0,6247"</f>
        <v>0</v>
      </c>
      <c r="E9" s="39" t="s">
        <v>16</v>
      </c>
      <c r="F9" s="39" t="s">
        <v>46</v>
      </c>
      <c r="G9" s="38" t="s">
        <v>365</v>
      </c>
      <c r="H9" s="38" t="s">
        <v>54</v>
      </c>
      <c r="I9" s="40" t="s">
        <v>55</v>
      </c>
      <c r="J9" s="40"/>
      <c r="K9" s="37">
        <v>150</v>
      </c>
      <c r="L9" s="38">
        <f>"93,6975"</f>
        <v>0</v>
      </c>
      <c r="M9" s="39"/>
    </row>
    <row r="11" ht="15">
      <c r="E11" s="42" t="s">
        <v>20</v>
      </c>
    </row>
    <row r="12" ht="15">
      <c r="E12" s="42" t="s">
        <v>21</v>
      </c>
    </row>
    <row r="13" ht="15">
      <c r="E13" s="42" t="s">
        <v>22</v>
      </c>
    </row>
    <row r="14" ht="12.75">
      <c r="E14" s="35" t="s">
        <v>23</v>
      </c>
    </row>
    <row r="15" ht="12.75">
      <c r="E15" s="35" t="s">
        <v>24</v>
      </c>
    </row>
    <row r="16" ht="12.75">
      <c r="E16" s="35" t="s">
        <v>25</v>
      </c>
    </row>
    <row r="19" spans="1:2" ht="17.25">
      <c r="A19" s="43" t="s">
        <v>26</v>
      </c>
      <c r="B19" s="44"/>
    </row>
    <row r="20" spans="1:2" ht="15">
      <c r="A20" s="45" t="s">
        <v>27</v>
      </c>
      <c r="B20" s="46"/>
    </row>
    <row r="21" spans="1:2" ht="14.25">
      <c r="A21" s="47" t="s">
        <v>28</v>
      </c>
      <c r="B21" s="48"/>
    </row>
    <row r="22" spans="1:5" ht="13.5">
      <c r="A22" s="49" t="s">
        <v>1</v>
      </c>
      <c r="B22" s="49" t="s">
        <v>29</v>
      </c>
      <c r="C22" s="49" t="s">
        <v>30</v>
      </c>
      <c r="D22" s="49" t="s">
        <v>8</v>
      </c>
      <c r="E22" s="49" t="s">
        <v>31</v>
      </c>
    </row>
    <row r="23" spans="1:5" ht="12.75">
      <c r="A23" s="50" t="s">
        <v>442</v>
      </c>
      <c r="B23" s="34" t="s">
        <v>28</v>
      </c>
      <c r="C23" s="34" t="s">
        <v>129</v>
      </c>
      <c r="D23" s="34" t="s">
        <v>210</v>
      </c>
      <c r="E23" s="33" t="s">
        <v>449</v>
      </c>
    </row>
    <row r="24" spans="1:5" ht="12.75">
      <c r="A24" s="50" t="s">
        <v>446</v>
      </c>
      <c r="B24" s="34" t="s">
        <v>28</v>
      </c>
      <c r="C24" s="34" t="s">
        <v>125</v>
      </c>
      <c r="D24" s="34" t="s">
        <v>54</v>
      </c>
      <c r="E24" s="33" t="s">
        <v>450</v>
      </c>
    </row>
  </sheetData>
  <sheetProtection selectLockedCells="1" selectUnlockedCells="1"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/>
  <cp:lastPrinted>2008-02-22T21:19:54Z</cp:lastPrinted>
  <dcterms:created xsi:type="dcterms:W3CDTF">2002-06-16T13:36:44Z</dcterms:created>
  <dcterms:modified xsi:type="dcterms:W3CDTF">2017-12-12T11:09:10Z</dcterms:modified>
  <cp:category/>
  <cp:version/>
  <cp:contentType/>
  <cp:contentStatus/>
  <cp:revision>20</cp:revision>
</cp:coreProperties>
</file>