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" activeTab="1"/>
  </bookViews>
  <sheets>
    <sheet name="AWPC 1 слой тяга" sheetId="1" r:id="rId1"/>
    <sheet name="AWPC б_э тяга" sheetId="2" r:id="rId2"/>
    <sheet name="WPC 1 слой тяга" sheetId="3" r:id="rId3"/>
    <sheet name="WPC б_э тяга" sheetId="4" r:id="rId4"/>
    <sheet name="AWPC 1 слой жим" sheetId="5" r:id="rId5"/>
    <sheet name="AWPC б_э жим" sheetId="6" r:id="rId6"/>
    <sheet name="AWPC 1 слой ПЛ" sheetId="7" r:id="rId7"/>
    <sheet name="AWPC б_э ПЛ" sheetId="8" r:id="rId8"/>
    <sheet name="WPC б_э жим" sheetId="9" r:id="rId9"/>
    <sheet name="WPC б_э ПЛ" sheetId="10" r:id="rId10"/>
    <sheet name="AWPC Класс. ПЛ RAW" sheetId="11" r:id="rId11"/>
    <sheet name="AWPC софт эк. жим" sheetId="12" r:id="rId12"/>
    <sheet name="WPC софт эк. жим" sheetId="13" r:id="rId13"/>
    <sheet name="WPC НЖ 1_2 вес" sheetId="14" r:id="rId14"/>
    <sheet name="WPC НЖ 1 вес" sheetId="15" r:id="rId15"/>
    <sheet name="AWPC НЖ 1_2 вес" sheetId="16" r:id="rId16"/>
    <sheet name="AWPC НЖ 1 вес" sheetId="17" r:id="rId17"/>
  </sheets>
  <definedNames/>
  <calcPr fullCalcOnLoad="1" refMode="R1C1"/>
</workbook>
</file>

<file path=xl/sharedStrings.xml><?xml version="1.0" encoding="utf-8"?>
<sst xmlns="http://schemas.openxmlformats.org/spreadsheetml/2006/main" count="2482" uniqueCount="810">
  <si>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</si>
  <si>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</si>
  <si>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</si>
  <si>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</si>
  <si>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</si>
  <si>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</si>
  <si>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</si>
  <si>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</si>
  <si>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</si>
  <si>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</si>
  <si>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</si>
  <si>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</si>
  <si>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Gloss</t>
  </si>
  <si>
    <t>ВЕСОВАЯ КАТЕГОРИЯ   82.5</t>
  </si>
  <si>
    <t>Акимов Денис</t>
  </si>
  <si>
    <t>1. Акимов Денис</t>
  </si>
  <si>
    <t>Открытая (28.07.1988)/29</t>
  </si>
  <si>
    <t>82,50</t>
  </si>
  <si>
    <t xml:space="preserve">Акуна Матата </t>
  </si>
  <si>
    <t xml:space="preserve">Москва </t>
  </si>
  <si>
    <t>100,0</t>
  </si>
  <si>
    <t xml:space="preserve"> </t>
  </si>
  <si>
    <t>ВЕСОВАЯ КАТЕГОРИЯ   110</t>
  </si>
  <si>
    <t>Прудников Сергей</t>
  </si>
  <si>
    <t>1. Прудников Сергей</t>
  </si>
  <si>
    <t>Открытая (31.03.1981)/36</t>
  </si>
  <si>
    <t>109,30</t>
  </si>
  <si>
    <t xml:space="preserve">Железные Химки </t>
  </si>
  <si>
    <t xml:space="preserve">Химки/Московская область </t>
  </si>
  <si>
    <t>260,0</t>
  </si>
  <si>
    <t>280,0</t>
  </si>
  <si>
    <t>300,0</t>
  </si>
  <si>
    <t>310,0</t>
  </si>
  <si>
    <t>ВЕСОВАЯ КАТЕГОРИЯ   125</t>
  </si>
  <si>
    <t>Федоренко Алексей</t>
  </si>
  <si>
    <t>1. Федоренко Алексей</t>
  </si>
  <si>
    <t>Юниоры 20 - 23 (02.06.1966)/51</t>
  </si>
  <si>
    <t>118,00</t>
  </si>
  <si>
    <t xml:space="preserve">Лично </t>
  </si>
  <si>
    <t>240,0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</si>
  <si>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</si>
  <si>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</si>
  <si>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</si>
  <si>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</si>
  <si>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</si>
  <si>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</si>
  <si>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</si>
  <si>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</si>
  <si>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Юниоры 20 - 23 </t>
  </si>
  <si>
    <t>125,0</t>
  </si>
  <si>
    <t>152,2298</t>
  </si>
  <si>
    <t xml:space="preserve">Открытая </t>
  </si>
  <si>
    <t>110,0</t>
  </si>
  <si>
    <t>169,0500</t>
  </si>
  <si>
    <t>82,5</t>
  </si>
  <si>
    <t>64,4600</t>
  </si>
  <si>
    <t>Результат</t>
  </si>
  <si>
    <t>ВЕСОВАЯ КАТЕГОРИЯ   75</t>
  </si>
  <si>
    <t>Умеренкова Юлия</t>
  </si>
  <si>
    <t>1. Умеренкова Юлия</t>
  </si>
  <si>
    <t>Открытая (09.12.1980)/36</t>
  </si>
  <si>
    <t>72,20</t>
  </si>
  <si>
    <t xml:space="preserve">Носорог </t>
  </si>
  <si>
    <t xml:space="preserve">Курск/Курская область </t>
  </si>
  <si>
    <t>115,0</t>
  </si>
  <si>
    <t>133,0</t>
  </si>
  <si>
    <t>Ковалев Виктор</t>
  </si>
  <si>
    <t>1. Ковалев Виктор</t>
  </si>
  <si>
    <t>Открытая (09.05.1984)/33</t>
  </si>
  <si>
    <t>74,10</t>
  </si>
  <si>
    <t>137,5</t>
  </si>
  <si>
    <t>Нахаев Сергей</t>
  </si>
  <si>
    <t>1. Нахаев Сергей</t>
  </si>
  <si>
    <t>Открытая (05.08.1976)/41</t>
  </si>
  <si>
    <t>80,20</t>
  </si>
  <si>
    <t>130,0</t>
  </si>
  <si>
    <t>150,0</t>
  </si>
  <si>
    <t>172,5</t>
  </si>
  <si>
    <t>Королев Сергей</t>
  </si>
  <si>
    <t>1. Королев Сергей</t>
  </si>
  <si>
    <t>Мастера 45 - 49 (03.04.1972)/45</t>
  </si>
  <si>
    <t>81,20</t>
  </si>
  <si>
    <t xml:space="preserve">Солнечногорск/Московская область </t>
  </si>
  <si>
    <t>160,0</t>
  </si>
  <si>
    <t>182,5</t>
  </si>
  <si>
    <t>ВЕСОВАЯ КАТЕГОРИЯ   100</t>
  </si>
  <si>
    <t>Галкин Максим</t>
  </si>
  <si>
    <t>1. Галкин Максим</t>
  </si>
  <si>
    <t>Юниоры 20 - 23 (07.01.1994)/23</t>
  </si>
  <si>
    <t>92,60</t>
  </si>
  <si>
    <t>120,0</t>
  </si>
  <si>
    <t>140,0</t>
  </si>
  <si>
    <t xml:space="preserve">Акимов Денис </t>
  </si>
  <si>
    <t>Амелин Александр</t>
  </si>
  <si>
    <t>1. Амелин Александр</t>
  </si>
  <si>
    <t>Открытая (16.02.1987)/30</t>
  </si>
  <si>
    <t>98,40</t>
  </si>
  <si>
    <t>180,0</t>
  </si>
  <si>
    <t>187,5</t>
  </si>
  <si>
    <t>200,0</t>
  </si>
  <si>
    <t xml:space="preserve">Женщины </t>
  </si>
  <si>
    <t>75,0</t>
  </si>
  <si>
    <t>107,2375</t>
  </si>
  <si>
    <t>72,3180</t>
  </si>
  <si>
    <t>109,7531</t>
  </si>
  <si>
    <t>98,5050</t>
  </si>
  <si>
    <t>86,8375</t>
  </si>
  <si>
    <t xml:space="preserve">Мастера </t>
  </si>
  <si>
    <t xml:space="preserve">Мастера 45 - 49 </t>
  </si>
  <si>
    <t>118,5285</t>
  </si>
  <si>
    <t>Харк Станислав</t>
  </si>
  <si>
    <t>1. Харк Станислав</t>
  </si>
  <si>
    <t>Мастера 45 - 49 (07.09.1968)/49</t>
  </si>
  <si>
    <t xml:space="preserve">Мытищи/Московская область </t>
  </si>
  <si>
    <t>135,0</t>
  </si>
  <si>
    <t>85,0</t>
  </si>
  <si>
    <t>92,5</t>
  </si>
  <si>
    <t xml:space="preserve">Шумилов Дмитрий </t>
  </si>
  <si>
    <t>Михайлов Андрей</t>
  </si>
  <si>
    <t>1. Михайлов Андрей</t>
  </si>
  <si>
    <t>Открытая (18.07.1983)/34</t>
  </si>
  <si>
    <t>91,40</t>
  </si>
  <si>
    <t xml:space="preserve">пос. Новый городок </t>
  </si>
  <si>
    <t>165,0</t>
  </si>
  <si>
    <t>190,0</t>
  </si>
  <si>
    <t>155,0</t>
  </si>
  <si>
    <t>210,0</t>
  </si>
  <si>
    <t>220,0</t>
  </si>
  <si>
    <t>530,0</t>
  </si>
  <si>
    <t>321,6040</t>
  </si>
  <si>
    <t>375,0</t>
  </si>
  <si>
    <t>274,0902</t>
  </si>
  <si>
    <t>Седнев Евгений</t>
  </si>
  <si>
    <t>1. Седнев Евгений</t>
  </si>
  <si>
    <t>Мастера 50 - 54 (20.08.1966)/51</t>
  </si>
  <si>
    <t>103,00</t>
  </si>
  <si>
    <t xml:space="preserve">Находка/Приморский край </t>
  </si>
  <si>
    <t>170,0</t>
  </si>
  <si>
    <t>175,0</t>
  </si>
  <si>
    <t>145,0</t>
  </si>
  <si>
    <t xml:space="preserve">Мастера 50 - 54 </t>
  </si>
  <si>
    <t>515,0</t>
  </si>
  <si>
    <t>339,4191</t>
  </si>
  <si>
    <t>ВЕСОВАЯ КАТЕГОРИЯ   52</t>
  </si>
  <si>
    <t>Кузина Екатерина</t>
  </si>
  <si>
    <t>1. Кузина Екатерина</t>
  </si>
  <si>
    <t>Открытая (13.12.1992)/24</t>
  </si>
  <si>
    <t>49,20</t>
  </si>
  <si>
    <t>35,0</t>
  </si>
  <si>
    <t>42,5</t>
  </si>
  <si>
    <t xml:space="preserve">Прудников Сергей </t>
  </si>
  <si>
    <t>Акимова Татьяна</t>
  </si>
  <si>
    <t>1. Акимова Татьяна</t>
  </si>
  <si>
    <t>Мастера 40 - 44 (01.03.1975)/42</t>
  </si>
  <si>
    <t>74,30</t>
  </si>
  <si>
    <t>65,0</t>
  </si>
  <si>
    <t>72,5</t>
  </si>
  <si>
    <t>ВЕСОВАЯ КАТЕГОРИЯ   56</t>
  </si>
  <si>
    <t>Мирошников Артемий</t>
  </si>
  <si>
    <t>1. Мирошников Артемий</t>
  </si>
  <si>
    <t>Открытая (05.11.1981)/35</t>
  </si>
  <si>
    <t>55,80</t>
  </si>
  <si>
    <t xml:space="preserve">Нижний Новгород/Нижегородская область </t>
  </si>
  <si>
    <t>90,0</t>
  </si>
  <si>
    <t>95,0</t>
  </si>
  <si>
    <t>Тукаев Антон</t>
  </si>
  <si>
    <t>1. Тукаев Антон</t>
  </si>
  <si>
    <t>Открытая (03.07.1990)/27</t>
  </si>
  <si>
    <t>80,30</t>
  </si>
  <si>
    <t xml:space="preserve">Люберцы/Московская область </t>
  </si>
  <si>
    <t xml:space="preserve">Котов Алексей </t>
  </si>
  <si>
    <t>Худолеев Евгений</t>
  </si>
  <si>
    <t>1. Худолеев Евгений</t>
  </si>
  <si>
    <t>Мастера 70 - 74 (10.09.1946)/71</t>
  </si>
  <si>
    <t>81,80</t>
  </si>
  <si>
    <t xml:space="preserve">Валдай/Новгородская область </t>
  </si>
  <si>
    <t>105,0</t>
  </si>
  <si>
    <t>ВЕСОВАЯ КАТЕГОРИЯ   90</t>
  </si>
  <si>
    <t>Снежков Илья</t>
  </si>
  <si>
    <t>1. Снежков Илья</t>
  </si>
  <si>
    <t>Открытая (06.12.1989)/27</t>
  </si>
  <si>
    <t>89,30</t>
  </si>
  <si>
    <t>197,5</t>
  </si>
  <si>
    <t>Белкин Кирилл</t>
  </si>
  <si>
    <t>2. Белкин Кирилл</t>
  </si>
  <si>
    <t>Открытая (21.08.1988)/29</t>
  </si>
  <si>
    <t>84,20</t>
  </si>
  <si>
    <t>157,5</t>
  </si>
  <si>
    <t>Базанов Сергей</t>
  </si>
  <si>
    <t>1. Базанов Сергей</t>
  </si>
  <si>
    <t>Мастера 55 - 59 (22.06.1962)/55</t>
  </si>
  <si>
    <t>88,00</t>
  </si>
  <si>
    <t xml:space="preserve">Ржев/Тверская область </t>
  </si>
  <si>
    <t>Салпагаров Джандар</t>
  </si>
  <si>
    <t>1. Салпагаров Джандар</t>
  </si>
  <si>
    <t>Открытая (07.11.1989)/27</t>
  </si>
  <si>
    <t>97,80</t>
  </si>
  <si>
    <t>177,5</t>
  </si>
  <si>
    <t xml:space="preserve">Козырев Р.Ю. </t>
  </si>
  <si>
    <t>Захаров Сергей</t>
  </si>
  <si>
    <t>2. Захаров Сергей</t>
  </si>
  <si>
    <t>Открытая (20.03.1991)/26</t>
  </si>
  <si>
    <t>98,90</t>
  </si>
  <si>
    <t>Герштанский Сергей</t>
  </si>
  <si>
    <t>1. Герштанский Сергей</t>
  </si>
  <si>
    <t>Мастера 40 - 44 (06.04.1974)/43</t>
  </si>
  <si>
    <t>106,50</t>
  </si>
  <si>
    <t xml:space="preserve">Щегольков В.Н. </t>
  </si>
  <si>
    <t>Новиков Илья</t>
  </si>
  <si>
    <t>1. Новиков Илья</t>
  </si>
  <si>
    <t>Мастера 45 - 49 (10.06.1971)/46</t>
  </si>
  <si>
    <t>103,70</t>
  </si>
  <si>
    <t>ВЕСОВАЯ КАТЕГОРИЯ   140</t>
  </si>
  <si>
    <t>Котов Виктор</t>
  </si>
  <si>
    <t>1. Котов Виктор</t>
  </si>
  <si>
    <t>Открытая (10.10.1989)/27</t>
  </si>
  <si>
    <t>125,80</t>
  </si>
  <si>
    <t xml:space="preserve">Московская </t>
  </si>
  <si>
    <t>202,5</t>
  </si>
  <si>
    <t>52,0</t>
  </si>
  <si>
    <t>40,4880</t>
  </si>
  <si>
    <t xml:space="preserve">Мастера 40 - 44 </t>
  </si>
  <si>
    <t>55,7848</t>
  </si>
  <si>
    <t>121,3736</t>
  </si>
  <si>
    <t>108,9180</t>
  </si>
  <si>
    <t>104,9895</t>
  </si>
  <si>
    <t>101,2489</t>
  </si>
  <si>
    <t>99,2885</t>
  </si>
  <si>
    <t>91,8610</t>
  </si>
  <si>
    <t>56,0</t>
  </si>
  <si>
    <t>80,6265</t>
  </si>
  <si>
    <t xml:space="preserve">Мастера 55 - 59 </t>
  </si>
  <si>
    <t>129,0525</t>
  </si>
  <si>
    <t xml:space="preserve">Мастера 70 - 74 </t>
  </si>
  <si>
    <t>114,4105</t>
  </si>
  <si>
    <t>96,6168</t>
  </si>
  <si>
    <t>94,8792</t>
  </si>
  <si>
    <t>ВЕСОВАЯ КАТЕГОРИЯ   48</t>
  </si>
  <si>
    <t>Кузнецова Ксения</t>
  </si>
  <si>
    <t>1. Кузнецова Ксения</t>
  </si>
  <si>
    <t>Открытая (01.11.1989)/27</t>
  </si>
  <si>
    <t>47,80</t>
  </si>
  <si>
    <t>77,5</t>
  </si>
  <si>
    <t>62,5</t>
  </si>
  <si>
    <t>70,0</t>
  </si>
  <si>
    <t>87,5</t>
  </si>
  <si>
    <t>Баранова Ксения</t>
  </si>
  <si>
    <t>1. Баранова Ксения</t>
  </si>
  <si>
    <t>Юниорки 20 - 23 (30.12.1993)/23</t>
  </si>
  <si>
    <t>53,80</t>
  </si>
  <si>
    <t>ВЕСОВАЯ КАТЕГОРИЯ   67.5</t>
  </si>
  <si>
    <t>Коваленко Юлия</t>
  </si>
  <si>
    <t>1. Коваленко Юлия</t>
  </si>
  <si>
    <t>Девушки 16 - 17 (18.10.1999)/17</t>
  </si>
  <si>
    <t>64,90</t>
  </si>
  <si>
    <t>47,5</t>
  </si>
  <si>
    <t>50,0</t>
  </si>
  <si>
    <t>52,5</t>
  </si>
  <si>
    <t>80,0</t>
  </si>
  <si>
    <t xml:space="preserve">Легкий П.Е. </t>
  </si>
  <si>
    <t>Хаустов Виталий</t>
  </si>
  <si>
    <t>1. Хаустов Виталий</t>
  </si>
  <si>
    <t>Юниоры 20 - 23 (01.10.1996)/20</t>
  </si>
  <si>
    <t>64,20</t>
  </si>
  <si>
    <t xml:space="preserve">Новозыбков/Брянская область </t>
  </si>
  <si>
    <t>Глазунов Игорь</t>
  </si>
  <si>
    <t>1. Глазунов Игорь</t>
  </si>
  <si>
    <t>Юниоры 20 - 23 (21.01.1997)/20</t>
  </si>
  <si>
    <t>70,40</t>
  </si>
  <si>
    <t>167,5</t>
  </si>
  <si>
    <t xml:space="preserve">Лехкий П.Е. </t>
  </si>
  <si>
    <t>Нестеров Егор</t>
  </si>
  <si>
    <t>1. Нестеров Егор</t>
  </si>
  <si>
    <t>Открытая (12.09.1990)/27</t>
  </si>
  <si>
    <t>79,00</t>
  </si>
  <si>
    <t>Мамедов Заур</t>
  </si>
  <si>
    <t>1. Мамедов Заур</t>
  </si>
  <si>
    <t>Открытая (06.07.1992)/25</t>
  </si>
  <si>
    <t xml:space="preserve">Донецк/Ростовская область </t>
  </si>
  <si>
    <t>195,0</t>
  </si>
  <si>
    <t>205,0</t>
  </si>
  <si>
    <t>217,5</t>
  </si>
  <si>
    <t>Сгибнев Антон</t>
  </si>
  <si>
    <t>1. Сгибнев Антон</t>
  </si>
  <si>
    <t>Открытая (26.04.1986)/31</t>
  </si>
  <si>
    <t>250,0</t>
  </si>
  <si>
    <t>267,5</t>
  </si>
  <si>
    <t>Мартин Янек</t>
  </si>
  <si>
    <t>2. Мартин Янек</t>
  </si>
  <si>
    <t>Открытая (14.04.1986)/31</t>
  </si>
  <si>
    <t>96,90</t>
  </si>
  <si>
    <t xml:space="preserve">Звенигород/Московская область </t>
  </si>
  <si>
    <t>230,0</t>
  </si>
  <si>
    <t xml:space="preserve">Радаев А.С. </t>
  </si>
  <si>
    <t>Незнамов Максим</t>
  </si>
  <si>
    <t>1. Незнамов Максим</t>
  </si>
  <si>
    <t>Открытая (21.02.1978)/39</t>
  </si>
  <si>
    <t>109,00</t>
  </si>
  <si>
    <t>257,5</t>
  </si>
  <si>
    <t>270,0</t>
  </si>
  <si>
    <t>277,5</t>
  </si>
  <si>
    <t xml:space="preserve">Девушки </t>
  </si>
  <si>
    <t xml:space="preserve">Юноши 16 - 17 </t>
  </si>
  <si>
    <t>67,5</t>
  </si>
  <si>
    <t>201,7856</t>
  </si>
  <si>
    <t xml:space="preserve">Юниорки </t>
  </si>
  <si>
    <t>295,0</t>
  </si>
  <si>
    <t>318,0100</t>
  </si>
  <si>
    <t>48,0</t>
  </si>
  <si>
    <t>225,0</t>
  </si>
  <si>
    <t>266,1075</t>
  </si>
  <si>
    <t>435,0</t>
  </si>
  <si>
    <t>340,1047</t>
  </si>
  <si>
    <t>462,5</t>
  </si>
  <si>
    <t>334,3412</t>
  </si>
  <si>
    <t>390,0</t>
  </si>
  <si>
    <t>235,0335</t>
  </si>
  <si>
    <t>717,5</t>
  </si>
  <si>
    <t>421,1366</t>
  </si>
  <si>
    <t>695,0</t>
  </si>
  <si>
    <t>391,9453</t>
  </si>
  <si>
    <t>630,0</t>
  </si>
  <si>
    <t>371,3220</t>
  </si>
  <si>
    <t>525,0</t>
  </si>
  <si>
    <t>325,3425</t>
  </si>
  <si>
    <t>430,0</t>
  </si>
  <si>
    <t>285,3050</t>
  </si>
  <si>
    <t>Севостьянов Денис</t>
  </si>
  <si>
    <t>1. Севостьянов Денис</t>
  </si>
  <si>
    <t>Юниоры 20 - 23 (11.06.1996)/21</t>
  </si>
  <si>
    <t>67,40</t>
  </si>
  <si>
    <t>107,5</t>
  </si>
  <si>
    <t>185,0</t>
  </si>
  <si>
    <t>212,5</t>
  </si>
  <si>
    <t xml:space="preserve">Филиппов И.Ю. </t>
  </si>
  <si>
    <t>487,5</t>
  </si>
  <si>
    <t>365,3081</t>
  </si>
  <si>
    <t>ВЕСОВАЯ КАТЕГОРИЯ   44</t>
  </si>
  <si>
    <t>Добриян Виктория</t>
  </si>
  <si>
    <t>1. Добриян Виктория</t>
  </si>
  <si>
    <t>Юниорки 20 - 23 (08.05.1995)/22</t>
  </si>
  <si>
    <t>41,60</t>
  </si>
  <si>
    <t>32,5</t>
  </si>
  <si>
    <t>37,5</t>
  </si>
  <si>
    <t>Ефимова Анна</t>
  </si>
  <si>
    <t>1. Ефимова Анна</t>
  </si>
  <si>
    <t>Открытая (22.12.1992)/24</t>
  </si>
  <si>
    <t>51,70</t>
  </si>
  <si>
    <t>45,0</t>
  </si>
  <si>
    <t>Татаринцева Юлия</t>
  </si>
  <si>
    <t>1. Татаринцева Юлия</t>
  </si>
  <si>
    <t>Открытая (26.09.1993)/24</t>
  </si>
  <si>
    <t>55,10</t>
  </si>
  <si>
    <t>55,0</t>
  </si>
  <si>
    <t>Гаджиева Аида</t>
  </si>
  <si>
    <t>2. Гаджиева Аида</t>
  </si>
  <si>
    <t>Открытая (26.09.1991)/26</t>
  </si>
  <si>
    <t>55,50</t>
  </si>
  <si>
    <t>ВЕСОВАЯ КАТЕГОРИЯ   60</t>
  </si>
  <si>
    <t>Коваленко Евгения</t>
  </si>
  <si>
    <t>1. Коваленко Евгения</t>
  </si>
  <si>
    <t>Открытая (21.03.1981)/36</t>
  </si>
  <si>
    <t>58,60</t>
  </si>
  <si>
    <t>Яковенко Виктория</t>
  </si>
  <si>
    <t>1. Яковенко Виктория</t>
  </si>
  <si>
    <t>Юниорки 20 - 23 (13.02.1995)/22</t>
  </si>
  <si>
    <t>60,0</t>
  </si>
  <si>
    <t>Карасик Владислав</t>
  </si>
  <si>
    <t>1. Карасик Владислав</t>
  </si>
  <si>
    <t>Открытая (22.07.1989)/28</t>
  </si>
  <si>
    <t>65,60</t>
  </si>
  <si>
    <t xml:space="preserve">Коженов Артур </t>
  </si>
  <si>
    <t>-. Порубаев Дмитрий</t>
  </si>
  <si>
    <t>Открытая (02.11.1989)/27</t>
  </si>
  <si>
    <t>66,80</t>
  </si>
  <si>
    <t>Измайлов Ренат</t>
  </si>
  <si>
    <t>1. Измайлов Ренат</t>
  </si>
  <si>
    <t>Юниоры 20 - 23 (01.12.1993)/23</t>
  </si>
  <si>
    <t>73,10</t>
  </si>
  <si>
    <t xml:space="preserve">Измайлово 13 </t>
  </si>
  <si>
    <t xml:space="preserve">Балугин Николай Владимирович </t>
  </si>
  <si>
    <t>Скворцов Дмитрий</t>
  </si>
  <si>
    <t>1. Скворцов Дмитрий</t>
  </si>
  <si>
    <t>Открытая (28.09.1990)/27</t>
  </si>
  <si>
    <t>73,90</t>
  </si>
  <si>
    <t>Ивкин Юрий</t>
  </si>
  <si>
    <t>2. Ивкин Юрий</t>
  </si>
  <si>
    <t>Открытая (21.07.1983)/34</t>
  </si>
  <si>
    <t>74,40</t>
  </si>
  <si>
    <t xml:space="preserve">Балугин Н.В. </t>
  </si>
  <si>
    <t>Ходанов Иван</t>
  </si>
  <si>
    <t>3. Ходанов Иван</t>
  </si>
  <si>
    <t>Открытая (17.01.1990)/27</t>
  </si>
  <si>
    <t>72,40</t>
  </si>
  <si>
    <t>117,5</t>
  </si>
  <si>
    <t>Петраковский Сергей</t>
  </si>
  <si>
    <t>4. Петраковский Сергей</t>
  </si>
  <si>
    <t>Открытая (07.01.1982)/35</t>
  </si>
  <si>
    <t>74,00</t>
  </si>
  <si>
    <t xml:space="preserve">Возмищев Антон </t>
  </si>
  <si>
    <t>Умеренков Александр</t>
  </si>
  <si>
    <t>5. Умеренков Александр</t>
  </si>
  <si>
    <t>Открытая (04.03.1982)/35</t>
  </si>
  <si>
    <t>74,60</t>
  </si>
  <si>
    <t>112,5</t>
  </si>
  <si>
    <t>Пиндак Семен</t>
  </si>
  <si>
    <t>6. Пиндак Семен</t>
  </si>
  <si>
    <t>Открытая (18.09.1984)/33</t>
  </si>
  <si>
    <t>75,00</t>
  </si>
  <si>
    <t>Афонин Максим</t>
  </si>
  <si>
    <t>1. Афонин Максим</t>
  </si>
  <si>
    <t>Мастера 40 - 44 (22.07.1975)/42</t>
  </si>
  <si>
    <t>73,20</t>
  </si>
  <si>
    <t>Подлипняк Владислав</t>
  </si>
  <si>
    <t>1. Подлипняк Владислав</t>
  </si>
  <si>
    <t>Юноши 18 - 19 (26.08.1998)/19</t>
  </si>
  <si>
    <t>80,80</t>
  </si>
  <si>
    <t>127,5</t>
  </si>
  <si>
    <t>132,5</t>
  </si>
  <si>
    <t>Мазур Евгений</t>
  </si>
  <si>
    <t>1. Мазур Евгений</t>
  </si>
  <si>
    <t>Открытая (30.11.1990)/26</t>
  </si>
  <si>
    <t>81,50</t>
  </si>
  <si>
    <t>Котегов Дмитрий</t>
  </si>
  <si>
    <t>2. Котегов Дмитрий</t>
  </si>
  <si>
    <t>Открытая (12.10.1991)/25</t>
  </si>
  <si>
    <t>Зеленов Сергей</t>
  </si>
  <si>
    <t>3. Зеленов Сергей</t>
  </si>
  <si>
    <t>Открытая (09.05.1978)/39</t>
  </si>
  <si>
    <t>77,40</t>
  </si>
  <si>
    <t>Мастера 40 - 44 (05.08.1976)/41</t>
  </si>
  <si>
    <t>122,5</t>
  </si>
  <si>
    <t>Лапин Геннадий</t>
  </si>
  <si>
    <t>1. Лапин Геннадий</t>
  </si>
  <si>
    <t>Юниоры 20 - 23 (13.07.1995)/22</t>
  </si>
  <si>
    <t>83,30</t>
  </si>
  <si>
    <t>142,5</t>
  </si>
  <si>
    <t xml:space="preserve">Лапин В.В. </t>
  </si>
  <si>
    <t>Измайлов Руслан</t>
  </si>
  <si>
    <t>2. Измайлов Руслан</t>
  </si>
  <si>
    <t>Юниоры 20 - 23 (18.01.1997)/20</t>
  </si>
  <si>
    <t>87,60</t>
  </si>
  <si>
    <t>Уразов Сергей</t>
  </si>
  <si>
    <t>3. Уразов Сергей</t>
  </si>
  <si>
    <t>Юниоры 20 - 23 (01.10.1993)/23</t>
  </si>
  <si>
    <t>84,90</t>
  </si>
  <si>
    <t>Опиченок Егор</t>
  </si>
  <si>
    <t>1. Опиченок Егор</t>
  </si>
  <si>
    <t>Открытая (25.09.1981)/36</t>
  </si>
  <si>
    <t>88,80</t>
  </si>
  <si>
    <t>Жарков Василий</t>
  </si>
  <si>
    <t>1. Жарков Василий</t>
  </si>
  <si>
    <t>Открытая (01.05.1979)/38</t>
  </si>
  <si>
    <t>94,80</t>
  </si>
  <si>
    <t xml:space="preserve">Головинский Дмитрий </t>
  </si>
  <si>
    <t>Лысенко Вячеслав</t>
  </si>
  <si>
    <t>2. Лысенко Вячеслав</t>
  </si>
  <si>
    <t>Открытая (16.10.1990)/26</t>
  </si>
  <si>
    <t>97,20</t>
  </si>
  <si>
    <t>Бабенков Андрей</t>
  </si>
  <si>
    <t>3. Бабенков Андрей</t>
  </si>
  <si>
    <t>Открытая (16.07.1991)/26</t>
  </si>
  <si>
    <t>93,20</t>
  </si>
  <si>
    <t>Труштин Иван</t>
  </si>
  <si>
    <t>1. Труштин Иван</t>
  </si>
  <si>
    <t>Мастера 40 - 44 (21.05.1977)/40</t>
  </si>
  <si>
    <t>97,50</t>
  </si>
  <si>
    <t>162,5</t>
  </si>
  <si>
    <t>Макевнин Андрей</t>
  </si>
  <si>
    <t>1. Макевнин Андрей</t>
  </si>
  <si>
    <t>Мастера 55 - 59 (18.05.1961)/56</t>
  </si>
  <si>
    <t>95,60</t>
  </si>
  <si>
    <t>Макаркин Андрей</t>
  </si>
  <si>
    <t>1. Макаркин Андрей</t>
  </si>
  <si>
    <t>Открытая (20.02.1980)/37</t>
  </si>
  <si>
    <t>108,40</t>
  </si>
  <si>
    <t>Геворкян Антон</t>
  </si>
  <si>
    <t>2. Геворкян Антон</t>
  </si>
  <si>
    <t>Открытая (12.06.1992)/25</t>
  </si>
  <si>
    <t>107,60</t>
  </si>
  <si>
    <t xml:space="preserve">Кудимов В.В. </t>
  </si>
  <si>
    <t>Киреев Дмитрий</t>
  </si>
  <si>
    <t>1. Киреев Дмитрий</t>
  </si>
  <si>
    <t>Мастера 45 - 49 (25.08.1969)/48</t>
  </si>
  <si>
    <t>109,10</t>
  </si>
  <si>
    <t>Селезнев Владимир</t>
  </si>
  <si>
    <t>1. Селезнев Владимир</t>
  </si>
  <si>
    <t>Мастера 40 - 44 (09.05.1977)/40</t>
  </si>
  <si>
    <t>124,60</t>
  </si>
  <si>
    <t xml:space="preserve">Одинцово/Московская область </t>
  </si>
  <si>
    <t>-. Бычков Игорь</t>
  </si>
  <si>
    <t>Мастера 45 - 49 (18.06.1970)/47</t>
  </si>
  <si>
    <t>113,20</t>
  </si>
  <si>
    <t>Волков Сергей</t>
  </si>
  <si>
    <t>1. Волков Сергей</t>
  </si>
  <si>
    <t>Мастера 50 - 54 (21.08.1965)/52</t>
  </si>
  <si>
    <t>132,00</t>
  </si>
  <si>
    <t xml:space="preserve">Вичуга/Ивановская область </t>
  </si>
  <si>
    <t>192,5</t>
  </si>
  <si>
    <t>78,1550</t>
  </si>
  <si>
    <t>60,3037</t>
  </si>
  <si>
    <t>44,0</t>
  </si>
  <si>
    <t>42,5327</t>
  </si>
  <si>
    <t>100,6500</t>
  </si>
  <si>
    <t>52,5700</t>
  </si>
  <si>
    <t>47,2855</t>
  </si>
  <si>
    <t>45,3900</t>
  </si>
  <si>
    <t xml:space="preserve">Юноши </t>
  </si>
  <si>
    <t xml:space="preserve">Юноши 18 - 19 </t>
  </si>
  <si>
    <t>86,5821</t>
  </si>
  <si>
    <t>91,2926</t>
  </si>
  <si>
    <t>87,7375</t>
  </si>
  <si>
    <t>83,8822</t>
  </si>
  <si>
    <t>75,9720</t>
  </si>
  <si>
    <t>114,0433</t>
  </si>
  <si>
    <t>112,9700</t>
  </si>
  <si>
    <t>110,3895</t>
  </si>
  <si>
    <t>107,1900</t>
  </si>
  <si>
    <t>100,7112</t>
  </si>
  <si>
    <t>97,4610</t>
  </si>
  <si>
    <t>96,9710</t>
  </si>
  <si>
    <t>88,2825</t>
  </si>
  <si>
    <t>83,0842</t>
  </si>
  <si>
    <t>83,0408</t>
  </si>
  <si>
    <t>81,7154</t>
  </si>
  <si>
    <t>79,5861</t>
  </si>
  <si>
    <t>77,7656</t>
  </si>
  <si>
    <t>75,7181</t>
  </si>
  <si>
    <t>61,3640</t>
  </si>
  <si>
    <t>56,8054</t>
  </si>
  <si>
    <t>118,2504</t>
  </si>
  <si>
    <t>114,4642</t>
  </si>
  <si>
    <t>102,0506</t>
  </si>
  <si>
    <t>96,8972</t>
  </si>
  <si>
    <t>82,2850</t>
  </si>
  <si>
    <t>76,2757</t>
  </si>
  <si>
    <t>75,0932</t>
  </si>
  <si>
    <t>Локтионов Олег</t>
  </si>
  <si>
    <t>1. Локтионов Олег</t>
  </si>
  <si>
    <t>Мастера 40 - 44 (05.05.1977)/40</t>
  </si>
  <si>
    <t>98,50</t>
  </si>
  <si>
    <t>207,5</t>
  </si>
  <si>
    <t>124,3231</t>
  </si>
  <si>
    <t>Павлов Дмитрий</t>
  </si>
  <si>
    <t>1. Павлов Дмитрий</t>
  </si>
  <si>
    <t>Открытая (24.10.1992)/24</t>
  </si>
  <si>
    <t>73,50</t>
  </si>
  <si>
    <t xml:space="preserve">Ростов-на-Дону/Ростовская область </t>
  </si>
  <si>
    <t>242,5</t>
  </si>
  <si>
    <t>Фролов Игорь</t>
  </si>
  <si>
    <t>1. Фролов Игорь</t>
  </si>
  <si>
    <t>Открытая (27.12.1992)/24</t>
  </si>
  <si>
    <t>255,0</t>
  </si>
  <si>
    <t>169,5075</t>
  </si>
  <si>
    <t>143,6925</t>
  </si>
  <si>
    <t>207,0286</t>
  </si>
  <si>
    <t>Кривоногов Алексей</t>
  </si>
  <si>
    <t>1. Кривоногов Алексей</t>
  </si>
  <si>
    <t>Открытая (29.11.1980)/36</t>
  </si>
  <si>
    <t>94,90</t>
  </si>
  <si>
    <t>285,0</t>
  </si>
  <si>
    <t>184,5120</t>
  </si>
  <si>
    <t>Енина Елена</t>
  </si>
  <si>
    <t>1. Енина Елена</t>
  </si>
  <si>
    <t>Открытая (10.05.1989)/28</t>
  </si>
  <si>
    <t>49,00</t>
  </si>
  <si>
    <t>Большакова Юлия</t>
  </si>
  <si>
    <t>1. Большакова Юлия</t>
  </si>
  <si>
    <t>Открытая (21.10.1990)/26</t>
  </si>
  <si>
    <t>58,20</t>
  </si>
  <si>
    <t>Змиевская Ирина</t>
  </si>
  <si>
    <t>1. Змиевская Ирина</t>
  </si>
  <si>
    <t>Открытая (17.11.1988)/28</t>
  </si>
  <si>
    <t>65,20</t>
  </si>
  <si>
    <t>Алферов Дмитрий</t>
  </si>
  <si>
    <t>1. Алферов Дмитрий</t>
  </si>
  <si>
    <t>Открытая (18.08.1979)/38</t>
  </si>
  <si>
    <t>71,30</t>
  </si>
  <si>
    <t xml:space="preserve">Кимры/Тверская область </t>
  </si>
  <si>
    <t>215,0</t>
  </si>
  <si>
    <t>2. Ходанов Иван</t>
  </si>
  <si>
    <t>Теребух Максим</t>
  </si>
  <si>
    <t>3. Теребух Максим</t>
  </si>
  <si>
    <t>Открытая (15.04.1988)/29</t>
  </si>
  <si>
    <t>72,70</t>
  </si>
  <si>
    <t xml:space="preserve">Вологодская </t>
  </si>
  <si>
    <t xml:space="preserve">Вязники/Владимирская область </t>
  </si>
  <si>
    <t>4. Ковалев Виктор</t>
  </si>
  <si>
    <t>Аменитский Виталий</t>
  </si>
  <si>
    <t>1. Аменитский Виталий</t>
  </si>
  <si>
    <t>Открытая (11.06.1992)/25</t>
  </si>
  <si>
    <t>82,20</t>
  </si>
  <si>
    <t>235,0</t>
  </si>
  <si>
    <t>245,0</t>
  </si>
  <si>
    <t xml:space="preserve">Монахов Алексей </t>
  </si>
  <si>
    <t>Сурмач Кирилл</t>
  </si>
  <si>
    <t>2. Сурмач Кирилл</t>
  </si>
  <si>
    <t>Открытая (20.07.1987)/30</t>
  </si>
  <si>
    <t>76,80</t>
  </si>
  <si>
    <t>Переверзев Владислав</t>
  </si>
  <si>
    <t>1. Переверзев Владислав</t>
  </si>
  <si>
    <t>Юноши 16 - 17 (23.08.2000)/17</t>
  </si>
  <si>
    <t>84,30</t>
  </si>
  <si>
    <t>Захаров Антон</t>
  </si>
  <si>
    <t>1. Захаров Антон</t>
  </si>
  <si>
    <t>Открытая (25.07.1991)/26</t>
  </si>
  <si>
    <t>96,60</t>
  </si>
  <si>
    <t xml:space="preserve">Нижегородская </t>
  </si>
  <si>
    <t xml:space="preserve">Выкса/Нижегородская область </t>
  </si>
  <si>
    <t>232,5</t>
  </si>
  <si>
    <t>Мардонов Руслан</t>
  </si>
  <si>
    <t>2. Мардонов Руслан</t>
  </si>
  <si>
    <t>Открытая (23.06.1978)/39</t>
  </si>
  <si>
    <t>101,90</t>
  </si>
  <si>
    <t xml:space="preserve">Балашиха/Московская область </t>
  </si>
  <si>
    <t>Смирнов Александр</t>
  </si>
  <si>
    <t>1. Смирнов Александр</t>
  </si>
  <si>
    <t>Мастера 40 - 44 (21.04.1974)/43</t>
  </si>
  <si>
    <t>108,00</t>
  </si>
  <si>
    <t>145,0500</t>
  </si>
  <si>
    <t>111,3200</t>
  </si>
  <si>
    <t>69,3300</t>
  </si>
  <si>
    <t>92,1983</t>
  </si>
  <si>
    <t>84,3710</t>
  </si>
  <si>
    <t>153,8648</t>
  </si>
  <si>
    <t>152,2665</t>
  </si>
  <si>
    <t>152,0265</t>
  </si>
  <si>
    <t>151,8452</t>
  </si>
  <si>
    <t>142,7321</t>
  </si>
  <si>
    <t>137,2215</t>
  </si>
  <si>
    <t>125,1988</t>
  </si>
  <si>
    <t>123,3093</t>
  </si>
  <si>
    <t>119,7068</t>
  </si>
  <si>
    <t>128,2667</t>
  </si>
  <si>
    <t>99,4901</t>
  </si>
  <si>
    <t>Филиппов Игорь</t>
  </si>
  <si>
    <t>1. Филиппов Игорь</t>
  </si>
  <si>
    <t>Открытая (05.10.1984)/32</t>
  </si>
  <si>
    <t>81,00</t>
  </si>
  <si>
    <t>237,5</t>
  </si>
  <si>
    <t>252,5</t>
  </si>
  <si>
    <t>155,4901</t>
  </si>
  <si>
    <t>169,6110</t>
  </si>
  <si>
    <t>Главный судья: Умеренков И.Ю. МК Курск</t>
  </si>
  <si>
    <t>Старший судья: Устирнов Ю.В. МК Новороссийск</t>
  </si>
  <si>
    <t>Боковой судья: Енина Е.В. МК Курск</t>
  </si>
  <si>
    <t xml:space="preserve">Главный секретарь: Роде И.А. МК Саратов </t>
  </si>
  <si>
    <t>Секретарь:Шаева Е.И. Москва</t>
  </si>
  <si>
    <t>Боковой судья: Умеренкова Ю.Н. МК Курск</t>
  </si>
  <si>
    <t>933,3230</t>
  </si>
  <si>
    <t>1087,5</t>
  </si>
  <si>
    <t xml:space="preserve">Мастера 40 - 49 </t>
  </si>
  <si>
    <t>1041,1200</t>
  </si>
  <si>
    <t>900,0</t>
  </si>
  <si>
    <t>29,0</t>
  </si>
  <si>
    <t>Мастера 40 - 49 (01.03.1975)/42</t>
  </si>
  <si>
    <t>36,0</t>
  </si>
  <si>
    <t>25,0</t>
  </si>
  <si>
    <t>Повторы</t>
  </si>
  <si>
    <t>Вес</t>
  </si>
  <si>
    <t>Тоннаж</t>
  </si>
  <si>
    <t>Жим мн. повт.</t>
  </si>
  <si>
    <t>1285,4608</t>
  </si>
  <si>
    <t>2100,0</t>
  </si>
  <si>
    <t>1802,5793</t>
  </si>
  <si>
    <t>2960,0</t>
  </si>
  <si>
    <t>Ижиков Филипп</t>
  </si>
  <si>
    <t>684,6840</t>
  </si>
  <si>
    <t>1040,0</t>
  </si>
  <si>
    <t>Довжик Сергей</t>
  </si>
  <si>
    <t>1201,8506</t>
  </si>
  <si>
    <t>1782,5</t>
  </si>
  <si>
    <t>Макоев Ислам</t>
  </si>
  <si>
    <t>1473,9726</t>
  </si>
  <si>
    <t>2470,0</t>
  </si>
  <si>
    <t>Прагин Роман</t>
  </si>
  <si>
    <t>1597,0102</t>
  </si>
  <si>
    <t>2932,5</t>
  </si>
  <si>
    <t>1771,7740</t>
  </si>
  <si>
    <t>2635,0</t>
  </si>
  <si>
    <t>Самвелян Армен</t>
  </si>
  <si>
    <t>1773,8175</t>
  </si>
  <si>
    <t>2275,0</t>
  </si>
  <si>
    <t>Прокаев Николай</t>
  </si>
  <si>
    <t>1892,9926</t>
  </si>
  <si>
    <t>2975,0</t>
  </si>
  <si>
    <t>2296,4975</t>
  </si>
  <si>
    <t>4070,0</t>
  </si>
  <si>
    <t>Пармут Виталий</t>
  </si>
  <si>
    <t>23,0</t>
  </si>
  <si>
    <t>20,0</t>
  </si>
  <si>
    <t>Мастера 40 - 49 (10.06.1971)/46</t>
  </si>
  <si>
    <t>37,0</t>
  </si>
  <si>
    <t>108,80</t>
  </si>
  <si>
    <t>Открытая (28.09.1981)/36</t>
  </si>
  <si>
    <t>1. Пармут Виталий</t>
  </si>
  <si>
    <t>32,0</t>
  </si>
  <si>
    <t>92,50</t>
  </si>
  <si>
    <t>Мастера 40 - 49 (30.10.1975)/41</t>
  </si>
  <si>
    <t>1. Ижиков Филипп</t>
  </si>
  <si>
    <t>26,0</t>
  </si>
  <si>
    <t>94,40</t>
  </si>
  <si>
    <t>1. Прагин Роман</t>
  </si>
  <si>
    <t>Открытая (30.10.1975)/41</t>
  </si>
  <si>
    <t>1. Белкин Кирилл</t>
  </si>
  <si>
    <t>13,0</t>
  </si>
  <si>
    <t>79,90</t>
  </si>
  <si>
    <t>Открытая (14.04.1988)/29</t>
  </si>
  <si>
    <t>3. Довжик Сергей</t>
  </si>
  <si>
    <t>77,20</t>
  </si>
  <si>
    <t>2. Макоев Ислам</t>
  </si>
  <si>
    <t>34,0</t>
  </si>
  <si>
    <t>77,50</t>
  </si>
  <si>
    <t>1. Самвелян Армен</t>
  </si>
  <si>
    <t>64,40</t>
  </si>
  <si>
    <t>Открытая (17.06.1987)/30</t>
  </si>
  <si>
    <t>1. Прокаев Николай</t>
  </si>
  <si>
    <t>707,0085</t>
  </si>
  <si>
    <t>632,5</t>
  </si>
  <si>
    <t>1004,9380</t>
  </si>
  <si>
    <t>935,0</t>
  </si>
  <si>
    <t>Крайкина Александра</t>
  </si>
  <si>
    <t>27,5</t>
  </si>
  <si>
    <t>54,00</t>
  </si>
  <si>
    <t>Открытая (14.10.1992)/24</t>
  </si>
  <si>
    <t>1. Крайкина Александра</t>
  </si>
  <si>
    <t>51,40</t>
  </si>
  <si>
    <t>1427,1690</t>
  </si>
  <si>
    <t>2460,0</t>
  </si>
  <si>
    <t>Сазонов Вадим</t>
  </si>
  <si>
    <t>1595,1977</t>
  </si>
  <si>
    <t>2465,0</t>
  </si>
  <si>
    <t>Терехин Юрий</t>
  </si>
  <si>
    <t>1871,4291</t>
  </si>
  <si>
    <t>2800,0</t>
  </si>
  <si>
    <t>Морозов Владислав</t>
  </si>
  <si>
    <t>1405,3500</t>
  </si>
  <si>
    <t>2025,0</t>
  </si>
  <si>
    <t>Балугин Николай</t>
  </si>
  <si>
    <t>1426,4139</t>
  </si>
  <si>
    <t>2530,0</t>
  </si>
  <si>
    <t>1563,9193</t>
  </si>
  <si>
    <t>1678,3400</t>
  </si>
  <si>
    <t>2480,0</t>
  </si>
  <si>
    <t>1715,3400</t>
  </si>
  <si>
    <t>2640,0</t>
  </si>
  <si>
    <t>2265,9560</t>
  </si>
  <si>
    <t>3080,0</t>
  </si>
  <si>
    <t>Гришанин Александр</t>
  </si>
  <si>
    <t>2354,9470</t>
  </si>
  <si>
    <t>3220,0</t>
  </si>
  <si>
    <t>Стрельников Валерий</t>
  </si>
  <si>
    <t>2042,2150</t>
  </si>
  <si>
    <t>3237,5</t>
  </si>
  <si>
    <t>Архипов Иван</t>
  </si>
  <si>
    <t>1279,3404</t>
  </si>
  <si>
    <t>1050,0</t>
  </si>
  <si>
    <t>Карнаушкина Ирина</t>
  </si>
  <si>
    <t>24,0</t>
  </si>
  <si>
    <t>102,5</t>
  </si>
  <si>
    <t>100,50</t>
  </si>
  <si>
    <t>Мастера 40 - 49 (28.09.1977)/40</t>
  </si>
  <si>
    <t>1. Сазонов Вадим</t>
  </si>
  <si>
    <t>Открытая (25.08.1969)/48</t>
  </si>
  <si>
    <t>84,60</t>
  </si>
  <si>
    <t>Мастера 40 - 49 (23.05.1975)/42</t>
  </si>
  <si>
    <t>1. Терехин Юрий</t>
  </si>
  <si>
    <t>Открытая (23.05.1975)/42</t>
  </si>
  <si>
    <t>85,40</t>
  </si>
  <si>
    <t>Юниоры 20 - 23 (28.09.1981)/36</t>
  </si>
  <si>
    <t>1. Архипов Иван</t>
  </si>
  <si>
    <t xml:space="preserve">Сосновый Бор/Ленинградская область </t>
  </si>
  <si>
    <t>79,30</t>
  </si>
  <si>
    <t>Мастера 40 - 49 (17.04.1976)/41</t>
  </si>
  <si>
    <t>1. Морозов Владислав</t>
  </si>
  <si>
    <t xml:space="preserve">Корнишин Владимир Владимирович </t>
  </si>
  <si>
    <t>27,0</t>
  </si>
  <si>
    <t>74,20</t>
  </si>
  <si>
    <t>Открытая (24.07.1987)/30</t>
  </si>
  <si>
    <t>3. Балугин Николай</t>
  </si>
  <si>
    <t>68,90</t>
  </si>
  <si>
    <t>Открытая (27.07.1987)/30</t>
  </si>
  <si>
    <t>2. Гришанин Александр</t>
  </si>
  <si>
    <t>46,0</t>
  </si>
  <si>
    <t>69,40</t>
  </si>
  <si>
    <t>Открытая (25.03.1981)/36</t>
  </si>
  <si>
    <t>1. Стрельников Валерий</t>
  </si>
  <si>
    <t xml:space="preserve">Финоненко Иван </t>
  </si>
  <si>
    <t>21,0</t>
  </si>
  <si>
    <t xml:space="preserve">Алексеевка/Белгородская область </t>
  </si>
  <si>
    <t>49,30</t>
  </si>
  <si>
    <t>Мастера 40 - 49 (30.06.1972)/45</t>
  </si>
  <si>
    <t>1. Карнаушкина Ирина</t>
  </si>
  <si>
    <t>Открытый Национальный Кубок
AWPC Народный жим (1 вес)
Химки/Московская область 30 сентября 2017 г.</t>
  </si>
  <si>
    <t>Открытый Национальный Кубок
AWPC Народный жим (1/2 вес)
Химки/Московская область 30 сентября 2017 г.</t>
  </si>
  <si>
    <t>Открытый Национальный Кубок
WPC Народный жим (1 вес)
Химки/Московская область 30 сентября 2017 г.</t>
  </si>
  <si>
    <t>Открытый Национальный Кубок
WPC Народный жим (1/2 вес)
Химки/Московская область 30 сентября 2017 г.</t>
  </si>
  <si>
    <t>Открытый Национальный Кубок
WPC жим лежа в софт экипировке
Химки/Московская область 30 сентября 2017 г.</t>
  </si>
  <si>
    <t>Открытый Национальный Кубок
AWPC жим лежа в софт экипировке
Химки/Московская область  30 сентября 2017 г.</t>
  </si>
  <si>
    <t>Открытый Национальный Кубок
AWPC классичесический пауэрлифтинг RAW
Химки/Московская область 30 сентября 2017 г.</t>
  </si>
  <si>
    <t>Открытый Национальный Кубок
WPC пауэрлифтинг без экипировки
Химки/Московская 30 область сентября 2017 г.</t>
  </si>
  <si>
    <t>Открытый Национальный Кубок
WPC жим лежа без экипировки
Химки/Московская область 30 сентября 2017 г.</t>
  </si>
  <si>
    <t>Открытый Национальный Кубок
AWPC пауэрлифтинг без экипировки
Химки/Московская область 30 сентября 2017 г.</t>
  </si>
  <si>
    <t>Открытый Национальный Кубок
AWPC пауэрлифтинг в однослойной экипировке
Химки/Московская область 30 сентября 2017 г.</t>
  </si>
  <si>
    <t>Открытый Национальный Кубок
AWPC жим лежа без экипировки
Химки/Московская область 30 сентября 2017 г.</t>
  </si>
  <si>
    <t>Открытый Национальный Кубок
AWPC жим лежа в однослойной экипировке
Химки/Московская область 30 сентября 2017 г.</t>
  </si>
  <si>
    <t>Открытый Национальный Кубок
WPC тяга становая без экипировки
Химки/Московская область 30 сентября 2017 г.</t>
  </si>
  <si>
    <t>Открытый Национальный Кубок
WPC тяга становая в однослойной экипировке
Химки/Московская область 30 сентября 2017 г.</t>
  </si>
  <si>
    <t>Открытый Национальный Кубок
AWPC тяга становая без экипировки
Химки/Московская область 30 сентября 2017 г.</t>
  </si>
  <si>
    <t>Открытый Национальный Кубок
AWPC тяга становая в однослойной экипировке
Химки/Московская область 30 сентября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</si>
</sst>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1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1" fillId="0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29" bestFit="1" customWidth="1"/>
    <col min="2" max="2" width="28.375" style="29" bestFit="1" customWidth="1"/>
    <col min="3" max="3" width="10.625" style="29" bestFit="1" customWidth="1"/>
    <col min="4" max="4" width="8.375" style="29" bestFit="1" customWidth="1"/>
    <col min="5" max="5" width="22.75390625" style="29" bestFit="1" customWidth="1"/>
    <col min="6" max="6" width="25.25390625" style="29" bestFit="1" customWidth="1"/>
    <col min="7" max="9" width="5.625" style="30" bestFit="1" customWidth="1"/>
    <col min="10" max="10" width="4.875" style="30" bestFit="1" customWidth="1"/>
    <col min="11" max="11" width="7.875" style="29" bestFit="1" customWidth="1"/>
    <col min="12" max="12" width="8.625" style="30" bestFit="1" customWidth="1"/>
    <col min="13" max="13" width="15.125" style="29" bestFit="1" customWidth="1"/>
    <col min="14" max="16384" width="9.125" style="30" customWidth="1"/>
  </cols>
  <sheetData>
    <row r="1" spans="1:13" s="26" customFormat="1" ht="28.5" customHeight="1">
      <c r="A1" s="83" t="s">
        <v>809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26" customFormat="1" ht="61.5" customHeight="1" thickBo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27" customFormat="1" ht="12.75" customHeight="1">
      <c r="A3" s="74" t="s">
        <v>0</v>
      </c>
      <c r="B3" s="76" t="s">
        <v>9</v>
      </c>
      <c r="C3" s="76" t="s">
        <v>11</v>
      </c>
      <c r="D3" s="61" t="s">
        <v>12</v>
      </c>
      <c r="E3" s="61" t="s">
        <v>7</v>
      </c>
      <c r="F3" s="61" t="s">
        <v>10</v>
      </c>
      <c r="G3" s="61" t="s">
        <v>3</v>
      </c>
      <c r="H3" s="61"/>
      <c r="I3" s="61"/>
      <c r="J3" s="61"/>
      <c r="K3" s="61" t="s">
        <v>56</v>
      </c>
      <c r="L3" s="61" t="s">
        <v>6</v>
      </c>
      <c r="M3" s="63" t="s">
        <v>5</v>
      </c>
    </row>
    <row r="4" spans="1:13" s="27" customFormat="1" ht="21" customHeight="1" thickBot="1">
      <c r="A4" s="75"/>
      <c r="B4" s="62"/>
      <c r="C4" s="62"/>
      <c r="D4" s="62"/>
      <c r="E4" s="62"/>
      <c r="F4" s="62"/>
      <c r="G4" s="28">
        <v>1</v>
      </c>
      <c r="H4" s="28">
        <v>2</v>
      </c>
      <c r="I4" s="28">
        <v>3</v>
      </c>
      <c r="J4" s="28" t="s">
        <v>8</v>
      </c>
      <c r="K4" s="62"/>
      <c r="L4" s="62"/>
      <c r="M4" s="64"/>
    </row>
    <row r="5" spans="1:12" ht="15">
      <c r="A5" s="65" t="s">
        <v>250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ht="12.75">
      <c r="A6" s="31" t="s">
        <v>328</v>
      </c>
      <c r="B6" s="31" t="s">
        <v>329</v>
      </c>
      <c r="C6" s="31" t="s">
        <v>330</v>
      </c>
      <c r="D6" s="31" t="str">
        <f>"0,7494"</f>
        <v>0,7494</v>
      </c>
      <c r="E6" s="31" t="s">
        <v>38</v>
      </c>
      <c r="F6" s="31" t="s">
        <v>28</v>
      </c>
      <c r="G6" s="32" t="s">
        <v>124</v>
      </c>
      <c r="H6" s="32" t="s">
        <v>99</v>
      </c>
      <c r="I6" s="32" t="s">
        <v>541</v>
      </c>
      <c r="J6" s="33"/>
      <c r="K6" s="31" t="str">
        <f>"207,5"</f>
        <v>207,5</v>
      </c>
      <c r="L6" s="32" t="str">
        <f>"155,4901"</f>
        <v>155,4901</v>
      </c>
      <c r="M6" s="31" t="s">
        <v>334</v>
      </c>
    </row>
    <row r="8" spans="1:12" ht="15">
      <c r="A8" s="67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3" ht="12.75">
      <c r="A9" s="31" t="s">
        <v>636</v>
      </c>
      <c r="B9" s="31" t="s">
        <v>637</v>
      </c>
      <c r="C9" s="31" t="s">
        <v>638</v>
      </c>
      <c r="D9" s="31" t="str">
        <f>"0,6524"</f>
        <v>0,6524</v>
      </c>
      <c r="E9" s="31" t="s">
        <v>38</v>
      </c>
      <c r="F9" s="31" t="s">
        <v>28</v>
      </c>
      <c r="G9" s="32" t="s">
        <v>639</v>
      </c>
      <c r="H9" s="32" t="s">
        <v>640</v>
      </c>
      <c r="I9" s="32" t="s">
        <v>29</v>
      </c>
      <c r="J9" s="33"/>
      <c r="K9" s="31" t="str">
        <f>"260,0"</f>
        <v>260,0</v>
      </c>
      <c r="L9" s="32" t="str">
        <f>"169,6110"</f>
        <v>169,6110</v>
      </c>
      <c r="M9" s="31" t="s">
        <v>21</v>
      </c>
    </row>
    <row r="11" ht="15">
      <c r="E11" s="34" t="s">
        <v>643</v>
      </c>
    </row>
    <row r="12" ht="15">
      <c r="E12" s="34" t="s">
        <v>646</v>
      </c>
    </row>
    <row r="13" ht="15">
      <c r="E13" s="34" t="s">
        <v>644</v>
      </c>
    </row>
    <row r="14" ht="15">
      <c r="E14" s="34" t="s">
        <v>645</v>
      </c>
    </row>
    <row r="15" ht="15">
      <c r="E15" s="34" t="s">
        <v>648</v>
      </c>
    </row>
    <row r="16" ht="15">
      <c r="E16" s="34" t="s">
        <v>647</v>
      </c>
    </row>
    <row r="17" ht="15">
      <c r="E17" s="34"/>
    </row>
    <row r="19" spans="1:2" ht="18">
      <c r="A19" s="35" t="s">
        <v>40</v>
      </c>
      <c r="B19" s="35"/>
    </row>
    <row r="20" spans="1:2" ht="15">
      <c r="A20" s="36" t="s">
        <v>41</v>
      </c>
      <c r="B20" s="36"/>
    </row>
    <row r="21" spans="1:2" ht="14.25">
      <c r="A21" s="37"/>
      <c r="B21" s="38" t="s">
        <v>42</v>
      </c>
    </row>
    <row r="22" spans="1:5" ht="15">
      <c r="A22" s="39" t="s">
        <v>43</v>
      </c>
      <c r="B22" s="39" t="s">
        <v>44</v>
      </c>
      <c r="C22" s="39" t="s">
        <v>45</v>
      </c>
      <c r="D22" s="39" t="s">
        <v>46</v>
      </c>
      <c r="E22" s="39" t="s">
        <v>47</v>
      </c>
    </row>
    <row r="23" spans="1:5" ht="12.75">
      <c r="A23" s="40" t="s">
        <v>327</v>
      </c>
      <c r="B23" s="29" t="s">
        <v>48</v>
      </c>
      <c r="C23" s="29" t="s">
        <v>303</v>
      </c>
      <c r="D23" s="29" t="s">
        <v>541</v>
      </c>
      <c r="E23" s="41" t="s">
        <v>641</v>
      </c>
    </row>
    <row r="25" spans="1:2" ht="14.25">
      <c r="A25" s="37"/>
      <c r="B25" s="38" t="s">
        <v>51</v>
      </c>
    </row>
    <row r="26" spans="1:5" ht="15">
      <c r="A26" s="39" t="s">
        <v>43</v>
      </c>
      <c r="B26" s="39" t="s">
        <v>44</v>
      </c>
      <c r="C26" s="39" t="s">
        <v>45</v>
      </c>
      <c r="D26" s="39" t="s">
        <v>46</v>
      </c>
      <c r="E26" s="39" t="s">
        <v>47</v>
      </c>
    </row>
    <row r="27" spans="1:5" ht="12.75">
      <c r="A27" s="40" t="s">
        <v>635</v>
      </c>
      <c r="B27" s="29" t="s">
        <v>51</v>
      </c>
      <c r="C27" s="29" t="s">
        <v>54</v>
      </c>
      <c r="D27" s="29" t="s">
        <v>29</v>
      </c>
      <c r="E27" s="41" t="s">
        <v>642</v>
      </c>
    </row>
  </sheetData>
  <sheetProtection/>
  <mergeCells count="13">
    <mergeCell ref="E3:E4"/>
    <mergeCell ref="F3:F4"/>
    <mergeCell ref="G3:J3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4.75390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83" t="s">
        <v>800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</row>
    <row r="2" spans="1:21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1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1</v>
      </c>
      <c r="H3" s="93"/>
      <c r="I3" s="93"/>
      <c r="J3" s="93"/>
      <c r="K3" s="93" t="s">
        <v>2</v>
      </c>
      <c r="L3" s="93"/>
      <c r="M3" s="93"/>
      <c r="N3" s="93"/>
      <c r="O3" s="93" t="s">
        <v>3</v>
      </c>
      <c r="P3" s="93"/>
      <c r="Q3" s="93"/>
      <c r="R3" s="93"/>
      <c r="S3" s="93" t="s">
        <v>4</v>
      </c>
      <c r="T3" s="93" t="s">
        <v>6</v>
      </c>
      <c r="U3" s="77" t="s">
        <v>5</v>
      </c>
    </row>
    <row r="4" spans="1:21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92"/>
      <c r="T4" s="92"/>
      <c r="U4" s="78"/>
    </row>
    <row r="5" spans="1:20" ht="15">
      <c r="A5" s="79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1" ht="12.75">
      <c r="A6" s="6" t="s">
        <v>133</v>
      </c>
      <c r="B6" s="6" t="s">
        <v>134</v>
      </c>
      <c r="C6" s="6" t="s">
        <v>135</v>
      </c>
      <c r="D6" s="6" t="str">
        <f>"0,5746"</f>
        <v>0,5746</v>
      </c>
      <c r="E6" s="6" t="s">
        <v>38</v>
      </c>
      <c r="F6" s="6" t="s">
        <v>136</v>
      </c>
      <c r="G6" s="8" t="s">
        <v>123</v>
      </c>
      <c r="H6" s="8" t="s">
        <v>137</v>
      </c>
      <c r="I6" s="7" t="s">
        <v>138</v>
      </c>
      <c r="J6" s="7"/>
      <c r="K6" s="8" t="s">
        <v>75</v>
      </c>
      <c r="L6" s="7" t="s">
        <v>91</v>
      </c>
      <c r="M6" s="8" t="s">
        <v>139</v>
      </c>
      <c r="N6" s="7"/>
      <c r="O6" s="8" t="s">
        <v>124</v>
      </c>
      <c r="P6" s="8" t="s">
        <v>99</v>
      </c>
      <c r="Q6" s="7" t="s">
        <v>126</v>
      </c>
      <c r="R6" s="7"/>
      <c r="S6" s="6" t="str">
        <f>"515,0"</f>
        <v>515,0</v>
      </c>
      <c r="T6" s="8" t="str">
        <f>"339,4191"</f>
        <v>339,4191</v>
      </c>
      <c r="U6" s="6" t="s">
        <v>21</v>
      </c>
    </row>
    <row r="8" ht="15">
      <c r="E8" s="9" t="s">
        <v>643</v>
      </c>
    </row>
    <row r="9" ht="15">
      <c r="E9" s="9" t="s">
        <v>646</v>
      </c>
    </row>
    <row r="10" ht="15">
      <c r="E10" s="9" t="s">
        <v>644</v>
      </c>
    </row>
    <row r="11" ht="15">
      <c r="E11" s="9" t="s">
        <v>645</v>
      </c>
    </row>
    <row r="12" ht="15">
      <c r="E12" s="9" t="s">
        <v>648</v>
      </c>
    </row>
    <row r="13" ht="15">
      <c r="E13" s="9" t="s">
        <v>647</v>
      </c>
    </row>
    <row r="14" ht="15">
      <c r="E14" s="9"/>
    </row>
    <row r="16" spans="1:2" ht="18">
      <c r="A16" s="10" t="s">
        <v>40</v>
      </c>
      <c r="B16" s="10"/>
    </row>
    <row r="17" spans="1:2" ht="15">
      <c r="A17" s="11" t="s">
        <v>41</v>
      </c>
      <c r="B17" s="11"/>
    </row>
    <row r="18" spans="1:2" ht="14.25">
      <c r="A18" s="13"/>
      <c r="B18" s="14" t="s">
        <v>107</v>
      </c>
    </row>
    <row r="19" spans="1:5" ht="15">
      <c r="A19" s="15" t="s">
        <v>43</v>
      </c>
      <c r="B19" s="15" t="s">
        <v>44</v>
      </c>
      <c r="C19" s="15" t="s">
        <v>45</v>
      </c>
      <c r="D19" s="15" t="s">
        <v>46</v>
      </c>
      <c r="E19" s="15" t="s">
        <v>47</v>
      </c>
    </row>
    <row r="20" spans="1:5" ht="12.75">
      <c r="A20" s="12" t="s">
        <v>132</v>
      </c>
      <c r="B20" s="5" t="s">
        <v>140</v>
      </c>
      <c r="C20" s="5" t="s">
        <v>52</v>
      </c>
      <c r="D20" s="5" t="s">
        <v>141</v>
      </c>
      <c r="E20" s="16" t="s">
        <v>142</v>
      </c>
    </row>
  </sheetData>
  <sheetProtection/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7.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7.625" style="5" bestFit="1" customWidth="1"/>
    <col min="22" max="16384" width="9.125" style="4" customWidth="1"/>
  </cols>
  <sheetData>
    <row r="1" spans="1:21" s="3" customFormat="1" ht="28.5" customHeight="1">
      <c r="A1" s="83" t="s">
        <v>799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</row>
    <row r="2" spans="1:21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1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1</v>
      </c>
      <c r="H3" s="93"/>
      <c r="I3" s="93"/>
      <c r="J3" s="93"/>
      <c r="K3" s="93" t="s">
        <v>2</v>
      </c>
      <c r="L3" s="93"/>
      <c r="M3" s="93"/>
      <c r="N3" s="93"/>
      <c r="O3" s="93" t="s">
        <v>3</v>
      </c>
      <c r="P3" s="93"/>
      <c r="Q3" s="93"/>
      <c r="R3" s="93"/>
      <c r="S3" s="93" t="s">
        <v>4</v>
      </c>
      <c r="T3" s="93" t="s">
        <v>6</v>
      </c>
      <c r="U3" s="77" t="s">
        <v>5</v>
      </c>
    </row>
    <row r="4" spans="1:21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92"/>
      <c r="T4" s="92"/>
      <c r="U4" s="78"/>
    </row>
    <row r="5" spans="1:20" ht="15">
      <c r="A5" s="79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1" ht="12.75">
      <c r="A6" s="6" t="s">
        <v>111</v>
      </c>
      <c r="B6" s="6" t="s">
        <v>112</v>
      </c>
      <c r="C6" s="6" t="s">
        <v>74</v>
      </c>
      <c r="D6" s="6" t="str">
        <f>"0,6567"</f>
        <v>0,6567</v>
      </c>
      <c r="E6" s="6" t="s">
        <v>38</v>
      </c>
      <c r="F6" s="6" t="s">
        <v>113</v>
      </c>
      <c r="G6" s="7" t="s">
        <v>75</v>
      </c>
      <c r="H6" s="7" t="s">
        <v>114</v>
      </c>
      <c r="I6" s="8" t="s">
        <v>91</v>
      </c>
      <c r="J6" s="7"/>
      <c r="K6" s="8" t="s">
        <v>115</v>
      </c>
      <c r="L6" s="7" t="s">
        <v>116</v>
      </c>
      <c r="M6" s="7" t="s">
        <v>20</v>
      </c>
      <c r="N6" s="7"/>
      <c r="O6" s="7" t="s">
        <v>75</v>
      </c>
      <c r="P6" s="8" t="s">
        <v>91</v>
      </c>
      <c r="Q6" s="8" t="s">
        <v>76</v>
      </c>
      <c r="R6" s="7"/>
      <c r="S6" s="6" t="str">
        <f>"375,0"</f>
        <v>375,0</v>
      </c>
      <c r="T6" s="8" t="str">
        <f>"274,0902"</f>
        <v>274,0902</v>
      </c>
      <c r="U6" s="6" t="s">
        <v>117</v>
      </c>
    </row>
    <row r="8" spans="1:20" ht="15">
      <c r="A8" s="81" t="s">
        <v>85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1" ht="12.75">
      <c r="A9" s="6" t="s">
        <v>119</v>
      </c>
      <c r="B9" s="6" t="s">
        <v>120</v>
      </c>
      <c r="C9" s="6" t="s">
        <v>121</v>
      </c>
      <c r="D9" s="6" t="str">
        <f>"0,6068"</f>
        <v>0,6068</v>
      </c>
      <c r="E9" s="6" t="s">
        <v>38</v>
      </c>
      <c r="F9" s="6" t="s">
        <v>122</v>
      </c>
      <c r="G9" s="8" t="s">
        <v>123</v>
      </c>
      <c r="H9" s="7" t="s">
        <v>124</v>
      </c>
      <c r="I9" s="7" t="s">
        <v>124</v>
      </c>
      <c r="J9" s="7"/>
      <c r="K9" s="8" t="s">
        <v>91</v>
      </c>
      <c r="L9" s="8" t="s">
        <v>76</v>
      </c>
      <c r="M9" s="8" t="s">
        <v>125</v>
      </c>
      <c r="N9" s="7"/>
      <c r="O9" s="8" t="s">
        <v>97</v>
      </c>
      <c r="P9" s="8" t="s">
        <v>126</v>
      </c>
      <c r="Q9" s="7" t="s">
        <v>127</v>
      </c>
      <c r="R9" s="7"/>
      <c r="S9" s="6" t="str">
        <f>"530,0"</f>
        <v>530,0</v>
      </c>
      <c r="T9" s="8" t="str">
        <f>"321,6040"</f>
        <v>321,6040</v>
      </c>
      <c r="U9" s="6" t="s">
        <v>21</v>
      </c>
    </row>
    <row r="11" ht="15">
      <c r="E11" s="9" t="s">
        <v>643</v>
      </c>
    </row>
    <row r="12" ht="15">
      <c r="E12" s="9" t="s">
        <v>646</v>
      </c>
    </row>
    <row r="13" ht="15">
      <c r="E13" s="9" t="s">
        <v>644</v>
      </c>
    </row>
    <row r="14" ht="15">
      <c r="E14" s="9" t="s">
        <v>645</v>
      </c>
    </row>
    <row r="15" ht="15">
      <c r="E15" s="9" t="s">
        <v>648</v>
      </c>
    </row>
    <row r="16" ht="15">
      <c r="E16" s="9" t="s">
        <v>647</v>
      </c>
    </row>
    <row r="17" ht="15">
      <c r="E17" s="9"/>
    </row>
    <row r="19" spans="1:2" ht="18">
      <c r="A19" s="10" t="s">
        <v>40</v>
      </c>
      <c r="B19" s="10"/>
    </row>
    <row r="20" spans="1:2" ht="15">
      <c r="A20" s="11" t="s">
        <v>41</v>
      </c>
      <c r="B20" s="11"/>
    </row>
    <row r="21" spans="1:2" ht="14.25">
      <c r="A21" s="13"/>
      <c r="B21" s="14" t="s">
        <v>51</v>
      </c>
    </row>
    <row r="22" spans="1:5" ht="15">
      <c r="A22" s="15" t="s">
        <v>43</v>
      </c>
      <c r="B22" s="15" t="s">
        <v>44</v>
      </c>
      <c r="C22" s="15" t="s">
        <v>45</v>
      </c>
      <c r="D22" s="15" t="s">
        <v>46</v>
      </c>
      <c r="E22" s="15" t="s">
        <v>47</v>
      </c>
    </row>
    <row r="23" spans="1:5" ht="12.75">
      <c r="A23" s="12" t="s">
        <v>118</v>
      </c>
      <c r="B23" s="5" t="s">
        <v>51</v>
      </c>
      <c r="C23" s="5" t="s">
        <v>20</v>
      </c>
      <c r="D23" s="5" t="s">
        <v>128</v>
      </c>
      <c r="E23" s="16" t="s">
        <v>129</v>
      </c>
    </row>
    <row r="25" spans="1:2" ht="14.25">
      <c r="A25" s="13"/>
      <c r="B25" s="14" t="s">
        <v>107</v>
      </c>
    </row>
    <row r="26" spans="1:5" ht="15">
      <c r="A26" s="15" t="s">
        <v>43</v>
      </c>
      <c r="B26" s="15" t="s">
        <v>44</v>
      </c>
      <c r="C26" s="15" t="s">
        <v>45</v>
      </c>
      <c r="D26" s="15" t="s">
        <v>46</v>
      </c>
      <c r="E26" s="15" t="s">
        <v>47</v>
      </c>
    </row>
    <row r="27" spans="1:5" ht="12.75">
      <c r="A27" s="12" t="s">
        <v>110</v>
      </c>
      <c r="B27" s="5" t="s">
        <v>108</v>
      </c>
      <c r="C27" s="5" t="s">
        <v>54</v>
      </c>
      <c r="D27" s="5" t="s">
        <v>130</v>
      </c>
      <c r="E27" s="16" t="s">
        <v>131</v>
      </c>
    </row>
  </sheetData>
  <sheetProtection/>
  <mergeCells count="15"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3.2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4.00390625" style="5" bestFit="1" customWidth="1"/>
    <col min="14" max="16384" width="9.125" style="4" customWidth="1"/>
  </cols>
  <sheetData>
    <row r="1" spans="1:13" s="3" customFormat="1" ht="28.5" customHeight="1">
      <c r="A1" s="83" t="s">
        <v>798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2</v>
      </c>
      <c r="H3" s="93"/>
      <c r="I3" s="93"/>
      <c r="J3" s="93"/>
      <c r="K3" s="93" t="s">
        <v>56</v>
      </c>
      <c r="L3" s="93" t="s">
        <v>6</v>
      </c>
      <c r="M3" s="77" t="s">
        <v>5</v>
      </c>
    </row>
    <row r="4" spans="1:13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92"/>
      <c r="L4" s="92"/>
      <c r="M4" s="78"/>
    </row>
    <row r="5" spans="1:12" ht="15">
      <c r="A5" s="79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12.75">
      <c r="A6" s="6" t="s">
        <v>59</v>
      </c>
      <c r="B6" s="6" t="s">
        <v>60</v>
      </c>
      <c r="C6" s="6" t="s">
        <v>61</v>
      </c>
      <c r="D6" s="6" t="str">
        <f>"0,8579"</f>
        <v>0,8579</v>
      </c>
      <c r="E6" s="6" t="s">
        <v>62</v>
      </c>
      <c r="F6" s="6" t="s">
        <v>63</v>
      </c>
      <c r="G6" s="8" t="s">
        <v>64</v>
      </c>
      <c r="H6" s="8" t="s">
        <v>49</v>
      </c>
      <c r="I6" s="7" t="s">
        <v>65</v>
      </c>
      <c r="J6" s="7"/>
      <c r="K6" s="6" t="str">
        <f>"125,0"</f>
        <v>125,0</v>
      </c>
      <c r="L6" s="8" t="str">
        <f>"107,2375"</f>
        <v>107,2375</v>
      </c>
      <c r="M6" s="6" t="s">
        <v>21</v>
      </c>
    </row>
    <row r="8" spans="1:12" ht="15">
      <c r="A8" s="81" t="s">
        <v>57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3" ht="12.75">
      <c r="A9" s="6" t="s">
        <v>67</v>
      </c>
      <c r="B9" s="6" t="s">
        <v>68</v>
      </c>
      <c r="C9" s="6" t="s">
        <v>69</v>
      </c>
      <c r="D9" s="6" t="str">
        <f>"0,6947"</f>
        <v>0,6947</v>
      </c>
      <c r="E9" s="6" t="s">
        <v>18</v>
      </c>
      <c r="F9" s="6" t="s">
        <v>19</v>
      </c>
      <c r="G9" s="8" t="s">
        <v>49</v>
      </c>
      <c r="H9" s="7" t="s">
        <v>70</v>
      </c>
      <c r="I9" s="7" t="s">
        <v>70</v>
      </c>
      <c r="J9" s="7"/>
      <c r="K9" s="6" t="str">
        <f>"125,0"</f>
        <v>125,0</v>
      </c>
      <c r="L9" s="8" t="str">
        <f>"86,8375"</f>
        <v>86,8375</v>
      </c>
      <c r="M9" s="6" t="s">
        <v>21</v>
      </c>
    </row>
    <row r="11" spans="1:12" ht="15">
      <c r="A11" s="81" t="s">
        <v>13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3" ht="12.75">
      <c r="A12" s="17" t="s">
        <v>72</v>
      </c>
      <c r="B12" s="17" t="s">
        <v>73</v>
      </c>
      <c r="C12" s="17" t="s">
        <v>74</v>
      </c>
      <c r="D12" s="17" t="str">
        <f>"0,6567"</f>
        <v>0,6567</v>
      </c>
      <c r="E12" s="17" t="s">
        <v>18</v>
      </c>
      <c r="F12" s="17" t="s">
        <v>19</v>
      </c>
      <c r="G12" s="19" t="s">
        <v>75</v>
      </c>
      <c r="H12" s="19" t="s">
        <v>76</v>
      </c>
      <c r="I12" s="18" t="s">
        <v>77</v>
      </c>
      <c r="J12" s="18"/>
      <c r="K12" s="17" t="str">
        <f>"150,0"</f>
        <v>150,0</v>
      </c>
      <c r="L12" s="19" t="str">
        <f>"98,5050"</f>
        <v>98,5050</v>
      </c>
      <c r="M12" s="17" t="s">
        <v>21</v>
      </c>
    </row>
    <row r="13" spans="1:13" ht="12.75">
      <c r="A13" s="20" t="s">
        <v>79</v>
      </c>
      <c r="B13" s="20" t="s">
        <v>80</v>
      </c>
      <c r="C13" s="20" t="s">
        <v>81</v>
      </c>
      <c r="D13" s="20" t="str">
        <f>"0,6513"</f>
        <v>0,6513</v>
      </c>
      <c r="E13" s="20" t="s">
        <v>27</v>
      </c>
      <c r="F13" s="20" t="s">
        <v>82</v>
      </c>
      <c r="G13" s="22" t="s">
        <v>83</v>
      </c>
      <c r="H13" s="22" t="s">
        <v>77</v>
      </c>
      <c r="I13" s="21" t="s">
        <v>84</v>
      </c>
      <c r="J13" s="21"/>
      <c r="K13" s="20" t="str">
        <f>"172,5"</f>
        <v>172,5</v>
      </c>
      <c r="L13" s="22" t="str">
        <f>"118,5285"</f>
        <v>118,5285</v>
      </c>
      <c r="M13" s="20" t="s">
        <v>21</v>
      </c>
    </row>
    <row r="15" spans="1:12" ht="15">
      <c r="A15" s="81" t="s">
        <v>85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3" ht="12.75">
      <c r="A16" s="17" t="s">
        <v>87</v>
      </c>
      <c r="B16" s="17" t="s">
        <v>88</v>
      </c>
      <c r="C16" s="17" t="s">
        <v>89</v>
      </c>
      <c r="D16" s="17" t="str">
        <f>"0,6026"</f>
        <v>0,6026</v>
      </c>
      <c r="E16" s="17" t="s">
        <v>18</v>
      </c>
      <c r="F16" s="17" t="s">
        <v>19</v>
      </c>
      <c r="G16" s="19" t="s">
        <v>52</v>
      </c>
      <c r="H16" s="19" t="s">
        <v>90</v>
      </c>
      <c r="I16" s="18" t="s">
        <v>91</v>
      </c>
      <c r="J16" s="18"/>
      <c r="K16" s="17" t="str">
        <f>"120,0"</f>
        <v>120,0</v>
      </c>
      <c r="L16" s="19" t="str">
        <f>"72,3180"</f>
        <v>72,3180</v>
      </c>
      <c r="M16" s="17" t="s">
        <v>92</v>
      </c>
    </row>
    <row r="17" spans="1:13" ht="12.75">
      <c r="A17" s="20" t="s">
        <v>94</v>
      </c>
      <c r="B17" s="20" t="s">
        <v>95</v>
      </c>
      <c r="C17" s="20" t="s">
        <v>96</v>
      </c>
      <c r="D17" s="20" t="str">
        <f>"0,5853"</f>
        <v>0,5853</v>
      </c>
      <c r="E17" s="20" t="s">
        <v>38</v>
      </c>
      <c r="F17" s="20" t="s">
        <v>19</v>
      </c>
      <c r="G17" s="22" t="s">
        <v>97</v>
      </c>
      <c r="H17" s="22" t="s">
        <v>98</v>
      </c>
      <c r="I17" s="21" t="s">
        <v>99</v>
      </c>
      <c r="J17" s="21"/>
      <c r="K17" s="20" t="str">
        <f>"187,5"</f>
        <v>187,5</v>
      </c>
      <c r="L17" s="22" t="str">
        <f>"109,7531"</f>
        <v>109,7531</v>
      </c>
      <c r="M17" s="20" t="s">
        <v>21</v>
      </c>
    </row>
    <row r="19" ht="15">
      <c r="E19" s="9" t="s">
        <v>643</v>
      </c>
    </row>
    <row r="20" ht="15">
      <c r="E20" s="9" t="s">
        <v>646</v>
      </c>
    </row>
    <row r="21" ht="15">
      <c r="E21" s="9" t="s">
        <v>644</v>
      </c>
    </row>
    <row r="22" ht="15">
      <c r="E22" s="9" t="s">
        <v>645</v>
      </c>
    </row>
    <row r="23" ht="15">
      <c r="E23" s="9" t="s">
        <v>648</v>
      </c>
    </row>
    <row r="24" ht="15">
      <c r="E24" s="9" t="s">
        <v>647</v>
      </c>
    </row>
    <row r="25" ht="15">
      <c r="E25" s="9"/>
    </row>
    <row r="27" spans="1:2" ht="18">
      <c r="A27" s="10" t="s">
        <v>40</v>
      </c>
      <c r="B27" s="10"/>
    </row>
    <row r="28" spans="1:2" ht="15">
      <c r="A28" s="11" t="s">
        <v>100</v>
      </c>
      <c r="B28" s="11"/>
    </row>
    <row r="29" spans="1:2" ht="14.25">
      <c r="A29" s="13"/>
      <c r="B29" s="14" t="s">
        <v>51</v>
      </c>
    </row>
    <row r="30" spans="1:5" ht="15">
      <c r="A30" s="15" t="s">
        <v>43</v>
      </c>
      <c r="B30" s="15" t="s">
        <v>44</v>
      </c>
      <c r="C30" s="15" t="s">
        <v>45</v>
      </c>
      <c r="D30" s="15" t="s">
        <v>46</v>
      </c>
      <c r="E30" s="15" t="s">
        <v>47</v>
      </c>
    </row>
    <row r="31" spans="1:5" ht="12.75">
      <c r="A31" s="12" t="s">
        <v>58</v>
      </c>
      <c r="B31" s="5" t="s">
        <v>51</v>
      </c>
      <c r="C31" s="5" t="s">
        <v>101</v>
      </c>
      <c r="D31" s="5" t="s">
        <v>49</v>
      </c>
      <c r="E31" s="16" t="s">
        <v>102</v>
      </c>
    </row>
    <row r="34" spans="1:2" ht="15">
      <c r="A34" s="11" t="s">
        <v>41</v>
      </c>
      <c r="B34" s="11"/>
    </row>
    <row r="35" spans="1:2" ht="14.25">
      <c r="A35" s="13"/>
      <c r="B35" s="14" t="s">
        <v>42</v>
      </c>
    </row>
    <row r="36" spans="1:5" ht="15">
      <c r="A36" s="15" t="s">
        <v>43</v>
      </c>
      <c r="B36" s="15" t="s">
        <v>44</v>
      </c>
      <c r="C36" s="15" t="s">
        <v>45</v>
      </c>
      <c r="D36" s="15" t="s">
        <v>46</v>
      </c>
      <c r="E36" s="15" t="s">
        <v>47</v>
      </c>
    </row>
    <row r="37" spans="1:5" ht="12.75">
      <c r="A37" s="12" t="s">
        <v>86</v>
      </c>
      <c r="B37" s="5" t="s">
        <v>48</v>
      </c>
      <c r="C37" s="5" t="s">
        <v>20</v>
      </c>
      <c r="D37" s="5" t="s">
        <v>90</v>
      </c>
      <c r="E37" s="16" t="s">
        <v>103</v>
      </c>
    </row>
    <row r="39" spans="1:2" ht="14.25">
      <c r="A39" s="13"/>
      <c r="B39" s="14" t="s">
        <v>51</v>
      </c>
    </row>
    <row r="40" spans="1:5" ht="15">
      <c r="A40" s="15" t="s">
        <v>43</v>
      </c>
      <c r="B40" s="15" t="s">
        <v>44</v>
      </c>
      <c r="C40" s="15" t="s">
        <v>45</v>
      </c>
      <c r="D40" s="15" t="s">
        <v>46</v>
      </c>
      <c r="E40" s="15" t="s">
        <v>47</v>
      </c>
    </row>
    <row r="41" spans="1:5" ht="12.75">
      <c r="A41" s="12" t="s">
        <v>93</v>
      </c>
      <c r="B41" s="5" t="s">
        <v>51</v>
      </c>
      <c r="C41" s="5" t="s">
        <v>20</v>
      </c>
      <c r="D41" s="5" t="s">
        <v>98</v>
      </c>
      <c r="E41" s="16" t="s">
        <v>104</v>
      </c>
    </row>
    <row r="42" spans="1:5" ht="12.75">
      <c r="A42" s="12" t="s">
        <v>71</v>
      </c>
      <c r="B42" s="5" t="s">
        <v>51</v>
      </c>
      <c r="C42" s="5" t="s">
        <v>54</v>
      </c>
      <c r="D42" s="5" t="s">
        <v>76</v>
      </c>
      <c r="E42" s="16" t="s">
        <v>105</v>
      </c>
    </row>
    <row r="43" spans="1:5" ht="12.75">
      <c r="A43" s="12" t="s">
        <v>66</v>
      </c>
      <c r="B43" s="5" t="s">
        <v>51</v>
      </c>
      <c r="C43" s="5" t="s">
        <v>101</v>
      </c>
      <c r="D43" s="5" t="s">
        <v>49</v>
      </c>
      <c r="E43" s="16" t="s">
        <v>106</v>
      </c>
    </row>
    <row r="45" spans="1:2" ht="14.25">
      <c r="A45" s="13"/>
      <c r="B45" s="14" t="s">
        <v>107</v>
      </c>
    </row>
    <row r="46" spans="1:5" ht="15">
      <c r="A46" s="15" t="s">
        <v>43</v>
      </c>
      <c r="B46" s="15" t="s">
        <v>44</v>
      </c>
      <c r="C46" s="15" t="s">
        <v>45</v>
      </c>
      <c r="D46" s="15" t="s">
        <v>46</v>
      </c>
      <c r="E46" s="15" t="s">
        <v>47</v>
      </c>
    </row>
    <row r="47" spans="1:5" ht="12.75">
      <c r="A47" s="12" t="s">
        <v>78</v>
      </c>
      <c r="B47" s="5" t="s">
        <v>108</v>
      </c>
      <c r="C47" s="5" t="s">
        <v>54</v>
      </c>
      <c r="D47" s="5" t="s">
        <v>77</v>
      </c>
      <c r="E47" s="16" t="s">
        <v>109</v>
      </c>
    </row>
  </sheetData>
  <sheetProtection/>
  <mergeCells count="15">
    <mergeCell ref="A15:L1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5" bestFit="1" customWidth="1"/>
    <col min="2" max="2" width="28.3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5.25390625" style="5" bestFit="1" customWidth="1"/>
    <col min="7" max="10" width="5.62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83" t="s">
        <v>797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2</v>
      </c>
      <c r="H3" s="93"/>
      <c r="I3" s="93"/>
      <c r="J3" s="93"/>
      <c r="K3" s="93" t="s">
        <v>56</v>
      </c>
      <c r="L3" s="93" t="s">
        <v>6</v>
      </c>
      <c r="M3" s="77" t="s">
        <v>5</v>
      </c>
    </row>
    <row r="4" spans="1:13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92"/>
      <c r="L4" s="92"/>
      <c r="M4" s="78"/>
    </row>
    <row r="5" spans="1:12" ht="15">
      <c r="A5" s="79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12.75">
      <c r="A6" s="6" t="s">
        <v>15</v>
      </c>
      <c r="B6" s="6" t="s">
        <v>16</v>
      </c>
      <c r="C6" s="6" t="s">
        <v>17</v>
      </c>
      <c r="D6" s="6" t="str">
        <f>"0,6446"</f>
        <v>0,6446</v>
      </c>
      <c r="E6" s="6" t="s">
        <v>18</v>
      </c>
      <c r="F6" s="6" t="s">
        <v>19</v>
      </c>
      <c r="G6" s="8" t="s">
        <v>20</v>
      </c>
      <c r="H6" s="7"/>
      <c r="I6" s="7"/>
      <c r="J6" s="7"/>
      <c r="K6" s="6" t="str">
        <f>"100,0"</f>
        <v>100,0</v>
      </c>
      <c r="L6" s="8" t="str">
        <f>"64,4600"</f>
        <v>64,4600</v>
      </c>
      <c r="M6" s="6" t="s">
        <v>21</v>
      </c>
    </row>
    <row r="8" spans="1:12" ht="15">
      <c r="A8" s="81" t="s">
        <v>22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3" ht="12.75">
      <c r="A9" s="6" t="s">
        <v>24</v>
      </c>
      <c r="B9" s="6" t="s">
        <v>25</v>
      </c>
      <c r="C9" s="6" t="s">
        <v>26</v>
      </c>
      <c r="D9" s="6" t="str">
        <f>"0,5635"</f>
        <v>0,5635</v>
      </c>
      <c r="E9" s="6" t="s">
        <v>27</v>
      </c>
      <c r="F9" s="6" t="s">
        <v>28</v>
      </c>
      <c r="G9" s="8" t="s">
        <v>29</v>
      </c>
      <c r="H9" s="8" t="s">
        <v>30</v>
      </c>
      <c r="I9" s="8" t="s">
        <v>31</v>
      </c>
      <c r="J9" s="7" t="s">
        <v>32</v>
      </c>
      <c r="K9" s="6" t="str">
        <f>"300,0"</f>
        <v>300,0</v>
      </c>
      <c r="L9" s="8" t="str">
        <f>"169,0500"</f>
        <v>169,0500</v>
      </c>
      <c r="M9" s="6" t="s">
        <v>21</v>
      </c>
    </row>
    <row r="11" spans="1:12" ht="15">
      <c r="A11" s="81" t="s">
        <v>33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3" ht="12.75">
      <c r="A12" s="6" t="s">
        <v>35</v>
      </c>
      <c r="B12" s="6" t="s">
        <v>36</v>
      </c>
      <c r="C12" s="6" t="s">
        <v>37</v>
      </c>
      <c r="D12" s="6" t="str">
        <f>"0,5530"</f>
        <v>0,5530</v>
      </c>
      <c r="E12" s="6" t="s">
        <v>38</v>
      </c>
      <c r="F12" s="6" t="s">
        <v>28</v>
      </c>
      <c r="G12" s="7" t="s">
        <v>39</v>
      </c>
      <c r="H12" s="7" t="s">
        <v>39</v>
      </c>
      <c r="I12" s="8" t="s">
        <v>39</v>
      </c>
      <c r="J12" s="7"/>
      <c r="K12" s="6" t="str">
        <f>"240,0"</f>
        <v>240,0</v>
      </c>
      <c r="L12" s="8" t="str">
        <f>"152,2298"</f>
        <v>152,2298</v>
      </c>
      <c r="M12" s="6" t="s">
        <v>21</v>
      </c>
    </row>
    <row r="14" ht="15">
      <c r="E14" s="9" t="s">
        <v>643</v>
      </c>
    </row>
    <row r="15" ht="15">
      <c r="E15" s="9" t="s">
        <v>646</v>
      </c>
    </row>
    <row r="16" ht="15">
      <c r="E16" s="9" t="s">
        <v>644</v>
      </c>
    </row>
    <row r="17" ht="15">
      <c r="E17" s="9" t="s">
        <v>645</v>
      </c>
    </row>
    <row r="18" ht="15">
      <c r="E18" s="9" t="s">
        <v>648</v>
      </c>
    </row>
    <row r="19" ht="15">
      <c r="E19" s="9" t="s">
        <v>647</v>
      </c>
    </row>
    <row r="20" ht="15">
      <c r="E20" s="9"/>
    </row>
    <row r="22" spans="1:2" ht="18">
      <c r="A22" s="10" t="s">
        <v>40</v>
      </c>
      <c r="B22" s="10"/>
    </row>
    <row r="23" spans="1:2" ht="15">
      <c r="A23" s="11" t="s">
        <v>41</v>
      </c>
      <c r="B23" s="11"/>
    </row>
    <row r="24" spans="1:2" ht="14.25">
      <c r="A24" s="13"/>
      <c r="B24" s="14" t="s">
        <v>42</v>
      </c>
    </row>
    <row r="25" spans="1:5" ht="15">
      <c r="A25" s="15" t="s">
        <v>43</v>
      </c>
      <c r="B25" s="15" t="s">
        <v>44</v>
      </c>
      <c r="C25" s="15" t="s">
        <v>45</v>
      </c>
      <c r="D25" s="15" t="s">
        <v>46</v>
      </c>
      <c r="E25" s="15" t="s">
        <v>47</v>
      </c>
    </row>
    <row r="26" spans="1:5" ht="12.75">
      <c r="A26" s="12" t="s">
        <v>34</v>
      </c>
      <c r="B26" s="5" t="s">
        <v>48</v>
      </c>
      <c r="C26" s="5" t="s">
        <v>49</v>
      </c>
      <c r="D26" s="5" t="s">
        <v>39</v>
      </c>
      <c r="E26" s="16" t="s">
        <v>50</v>
      </c>
    </row>
    <row r="28" spans="1:2" ht="14.25">
      <c r="A28" s="13"/>
      <c r="B28" s="14" t="s">
        <v>51</v>
      </c>
    </row>
    <row r="29" spans="1:5" ht="15">
      <c r="A29" s="15" t="s">
        <v>43</v>
      </c>
      <c r="B29" s="15" t="s">
        <v>44</v>
      </c>
      <c r="C29" s="15" t="s">
        <v>45</v>
      </c>
      <c r="D29" s="15" t="s">
        <v>46</v>
      </c>
      <c r="E29" s="15" t="s">
        <v>47</v>
      </c>
    </row>
    <row r="30" spans="1:5" ht="12.75">
      <c r="A30" s="12" t="s">
        <v>23</v>
      </c>
      <c r="B30" s="5" t="s">
        <v>51</v>
      </c>
      <c r="C30" s="5" t="s">
        <v>52</v>
      </c>
      <c r="D30" s="5" t="s">
        <v>31</v>
      </c>
      <c r="E30" s="16" t="s">
        <v>53</v>
      </c>
    </row>
    <row r="31" spans="1:5" ht="12.75">
      <c r="A31" s="12" t="s">
        <v>14</v>
      </c>
      <c r="B31" s="5" t="s">
        <v>51</v>
      </c>
      <c r="C31" s="5" t="s">
        <v>54</v>
      </c>
      <c r="D31" s="5" t="s">
        <v>20</v>
      </c>
      <c r="E31" s="16" t="s">
        <v>55</v>
      </c>
    </row>
  </sheetData>
  <sheetProtection/>
  <mergeCells count="14">
    <mergeCell ref="A8:L8"/>
    <mergeCell ref="A11:L11"/>
    <mergeCell ref="A1:M2"/>
    <mergeCell ref="G3:J3"/>
    <mergeCell ref="A3:A4"/>
    <mergeCell ref="B3:B4"/>
    <mergeCell ref="C3:C4"/>
    <mergeCell ref="M3:M4"/>
    <mergeCell ref="F3:F4"/>
    <mergeCell ref="E3:E4"/>
    <mergeCell ref="D3:D4"/>
    <mergeCell ref="K3:K4"/>
    <mergeCell ref="L3:L4"/>
    <mergeCell ref="A5:L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5.25390625" style="5" bestFit="1" customWidth="1"/>
    <col min="7" max="7" width="4.625" style="4" bestFit="1" customWidth="1"/>
    <col min="8" max="8" width="4.625" style="42" bestFit="1" customWidth="1"/>
    <col min="9" max="9" width="7.875" style="5" bestFit="1" customWidth="1"/>
    <col min="10" max="10" width="9.625" style="4" bestFit="1" customWidth="1"/>
    <col min="11" max="11" width="17.75390625" style="5" bestFit="1" customWidth="1"/>
    <col min="12" max="16384" width="9.125" style="4" customWidth="1"/>
  </cols>
  <sheetData>
    <row r="1" spans="1:11" s="3" customFormat="1" ht="28.5" customHeight="1">
      <c r="A1" s="83" t="s">
        <v>796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661</v>
      </c>
      <c r="H3" s="93"/>
      <c r="I3" s="93" t="s">
        <v>660</v>
      </c>
      <c r="J3" s="93" t="s">
        <v>6</v>
      </c>
      <c r="K3" s="77" t="s">
        <v>5</v>
      </c>
    </row>
    <row r="4" spans="1:11" s="1" customFormat="1" ht="21" customHeight="1" thickBot="1">
      <c r="A4" s="90"/>
      <c r="B4" s="92"/>
      <c r="C4" s="92"/>
      <c r="D4" s="92"/>
      <c r="E4" s="92"/>
      <c r="F4" s="92"/>
      <c r="G4" s="2" t="s">
        <v>659</v>
      </c>
      <c r="H4" s="44" t="s">
        <v>658</v>
      </c>
      <c r="I4" s="92"/>
      <c r="J4" s="92"/>
      <c r="K4" s="78"/>
    </row>
    <row r="5" spans="1:10" ht="15">
      <c r="A5" s="79" t="s">
        <v>143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12.75">
      <c r="A6" s="6" t="s">
        <v>145</v>
      </c>
      <c r="B6" s="6" t="s">
        <v>146</v>
      </c>
      <c r="C6" s="6" t="s">
        <v>147</v>
      </c>
      <c r="D6" s="6" t="str">
        <f>"1,1568"</f>
        <v>1,1568</v>
      </c>
      <c r="E6" s="6" t="s">
        <v>27</v>
      </c>
      <c r="F6" s="6" t="s">
        <v>28</v>
      </c>
      <c r="G6" s="8" t="s">
        <v>657</v>
      </c>
      <c r="H6" s="43" t="s">
        <v>656</v>
      </c>
      <c r="I6" s="6" t="str">
        <f>"900,0"</f>
        <v>900,0</v>
      </c>
      <c r="J6" s="8" t="str">
        <f>"1041,1200"</f>
        <v>1041,1200</v>
      </c>
      <c r="K6" s="6" t="s">
        <v>150</v>
      </c>
    </row>
    <row r="8" spans="1:10" ht="15">
      <c r="A8" s="81" t="s">
        <v>57</v>
      </c>
      <c r="B8" s="82"/>
      <c r="C8" s="82"/>
      <c r="D8" s="82"/>
      <c r="E8" s="82"/>
      <c r="F8" s="82"/>
      <c r="G8" s="82"/>
      <c r="H8" s="82"/>
      <c r="I8" s="82"/>
      <c r="J8" s="82"/>
    </row>
    <row r="9" spans="1:11" ht="12.75">
      <c r="A9" s="6" t="s">
        <v>152</v>
      </c>
      <c r="B9" s="6" t="s">
        <v>655</v>
      </c>
      <c r="C9" s="6" t="s">
        <v>154</v>
      </c>
      <c r="D9" s="6" t="str">
        <f>"0,8414"</f>
        <v>0,8414</v>
      </c>
      <c r="E9" s="6" t="s">
        <v>27</v>
      </c>
      <c r="F9" s="6" t="s">
        <v>28</v>
      </c>
      <c r="G9" s="8" t="s">
        <v>343</v>
      </c>
      <c r="H9" s="43" t="s">
        <v>654</v>
      </c>
      <c r="I9" s="6" t="str">
        <f>"1087,5"</f>
        <v>1087,5</v>
      </c>
      <c r="J9" s="8" t="str">
        <f>"933,3230"</f>
        <v>933,3230</v>
      </c>
      <c r="K9" s="6" t="s">
        <v>150</v>
      </c>
    </row>
    <row r="11" ht="15">
      <c r="E11" s="9" t="s">
        <v>643</v>
      </c>
    </row>
    <row r="12" ht="15">
      <c r="E12" s="9" t="s">
        <v>646</v>
      </c>
    </row>
    <row r="13" ht="15">
      <c r="E13" s="9" t="s">
        <v>644</v>
      </c>
    </row>
    <row r="14" ht="15">
      <c r="E14" s="9" t="s">
        <v>645</v>
      </c>
    </row>
    <row r="15" ht="15">
      <c r="E15" s="9" t="s">
        <v>648</v>
      </c>
    </row>
    <row r="16" ht="15">
      <c r="E16" s="9" t="s">
        <v>647</v>
      </c>
    </row>
    <row r="17" ht="15">
      <c r="E17" s="9"/>
    </row>
    <row r="19" spans="1:2" ht="18">
      <c r="A19" s="10" t="s">
        <v>40</v>
      </c>
      <c r="B19" s="10"/>
    </row>
    <row r="20" spans="1:2" ht="15">
      <c r="A20" s="11" t="s">
        <v>100</v>
      </c>
      <c r="B20" s="11"/>
    </row>
    <row r="21" spans="1:2" ht="14.25">
      <c r="A21" s="13"/>
      <c r="B21" s="14" t="s">
        <v>51</v>
      </c>
    </row>
    <row r="22" spans="1:5" ht="15">
      <c r="A22" s="15" t="s">
        <v>43</v>
      </c>
      <c r="B22" s="15" t="s">
        <v>44</v>
      </c>
      <c r="C22" s="15" t="s">
        <v>45</v>
      </c>
      <c r="D22" s="15" t="s">
        <v>46</v>
      </c>
      <c r="E22" s="15" t="s">
        <v>47</v>
      </c>
    </row>
    <row r="23" spans="1:5" ht="12.75">
      <c r="A23" s="12" t="s">
        <v>144</v>
      </c>
      <c r="B23" s="5" t="s">
        <v>51</v>
      </c>
      <c r="C23" s="5" t="s">
        <v>219</v>
      </c>
      <c r="D23" s="5" t="s">
        <v>653</v>
      </c>
      <c r="E23" s="16" t="s">
        <v>652</v>
      </c>
    </row>
    <row r="25" spans="1:2" ht="14.25">
      <c r="A25" s="13"/>
      <c r="B25" s="14" t="s">
        <v>107</v>
      </c>
    </row>
    <row r="26" spans="1:5" ht="15">
      <c r="A26" s="15" t="s">
        <v>43</v>
      </c>
      <c r="B26" s="15" t="s">
        <v>44</v>
      </c>
      <c r="C26" s="15" t="s">
        <v>45</v>
      </c>
      <c r="D26" s="15" t="s">
        <v>46</v>
      </c>
      <c r="E26" s="15" t="s">
        <v>47</v>
      </c>
    </row>
    <row r="27" spans="1:5" ht="12.75">
      <c r="A27" s="12" t="s">
        <v>151</v>
      </c>
      <c r="B27" s="5" t="s">
        <v>651</v>
      </c>
      <c r="C27" s="5" t="s">
        <v>101</v>
      </c>
      <c r="D27" s="5" t="s">
        <v>650</v>
      </c>
      <c r="E27" s="16" t="s">
        <v>649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6" bestFit="1" customWidth="1"/>
    <col min="2" max="2" width="28.625" style="46" bestFit="1" customWidth="1"/>
    <col min="3" max="3" width="10.625" style="46" bestFit="1" customWidth="1"/>
    <col min="4" max="4" width="8.375" style="46" bestFit="1" customWidth="1"/>
    <col min="5" max="5" width="22.75390625" style="46" bestFit="1" customWidth="1"/>
    <col min="6" max="6" width="28.25390625" style="46" bestFit="1" customWidth="1"/>
    <col min="7" max="7" width="5.625" style="45" bestFit="1" customWidth="1"/>
    <col min="8" max="8" width="4.625" style="47" bestFit="1" customWidth="1"/>
    <col min="9" max="9" width="7.875" style="46" bestFit="1" customWidth="1"/>
    <col min="10" max="10" width="9.625" style="45" bestFit="1" customWidth="1"/>
    <col min="11" max="11" width="8.875" style="46" bestFit="1" customWidth="1"/>
    <col min="12" max="16384" width="9.125" style="45" customWidth="1"/>
  </cols>
  <sheetData>
    <row r="1" spans="1:11" s="3" customFormat="1" ht="28.5" customHeight="1">
      <c r="A1" s="83" t="s">
        <v>795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661</v>
      </c>
      <c r="H3" s="93"/>
      <c r="I3" s="93" t="s">
        <v>660</v>
      </c>
      <c r="J3" s="93" t="s">
        <v>6</v>
      </c>
      <c r="K3" s="77" t="s">
        <v>5</v>
      </c>
    </row>
    <row r="4" spans="1:11" s="1" customFormat="1" ht="21" customHeight="1" thickBot="1">
      <c r="A4" s="90"/>
      <c r="B4" s="92"/>
      <c r="C4" s="92"/>
      <c r="D4" s="92"/>
      <c r="E4" s="92"/>
      <c r="F4" s="92"/>
      <c r="G4" s="2" t="s">
        <v>659</v>
      </c>
      <c r="H4" s="44" t="s">
        <v>658</v>
      </c>
      <c r="I4" s="92"/>
      <c r="J4" s="92"/>
      <c r="K4" s="78"/>
    </row>
    <row r="5" spans="1:10" ht="15">
      <c r="A5" s="79" t="s">
        <v>250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12.75">
      <c r="A6" s="49" t="s">
        <v>716</v>
      </c>
      <c r="B6" s="49" t="s">
        <v>715</v>
      </c>
      <c r="C6" s="49" t="s">
        <v>714</v>
      </c>
      <c r="D6" s="49" t="str">
        <f>"0,7797"</f>
        <v>0,7797</v>
      </c>
      <c r="E6" s="49" t="s">
        <v>217</v>
      </c>
      <c r="F6" s="49" t="s">
        <v>19</v>
      </c>
      <c r="G6" s="50" t="s">
        <v>155</v>
      </c>
      <c r="H6" s="51" t="s">
        <v>148</v>
      </c>
      <c r="I6" s="49" t="str">
        <f>"2275,0"</f>
        <v>2275,0</v>
      </c>
      <c r="J6" s="50" t="str">
        <f>"1773,8175"</f>
        <v>1773,8175</v>
      </c>
      <c r="K6" s="49" t="s">
        <v>21</v>
      </c>
    </row>
    <row r="8" spans="1:10" ht="15">
      <c r="A8" s="81" t="s">
        <v>13</v>
      </c>
      <c r="B8" s="82"/>
      <c r="C8" s="82"/>
      <c r="D8" s="82"/>
      <c r="E8" s="82"/>
      <c r="F8" s="82"/>
      <c r="G8" s="82"/>
      <c r="H8" s="82"/>
      <c r="I8" s="82"/>
      <c r="J8" s="82"/>
    </row>
    <row r="9" spans="1:11" ht="12.75">
      <c r="A9" s="55" t="s">
        <v>713</v>
      </c>
      <c r="B9" s="55" t="s">
        <v>694</v>
      </c>
      <c r="C9" s="55" t="s">
        <v>712</v>
      </c>
      <c r="D9" s="55" t="str">
        <f>"0,6724"</f>
        <v>0,6724</v>
      </c>
      <c r="E9" s="55" t="s">
        <v>217</v>
      </c>
      <c r="F9" s="55" t="s">
        <v>19</v>
      </c>
      <c r="G9" s="56" t="s">
        <v>242</v>
      </c>
      <c r="H9" s="57" t="s">
        <v>711</v>
      </c>
      <c r="I9" s="55" t="str">
        <f>"2635,0"</f>
        <v>2635,0</v>
      </c>
      <c r="J9" s="56" t="str">
        <f>"1771,7740"</f>
        <v>1771,7740</v>
      </c>
      <c r="K9" s="55" t="s">
        <v>21</v>
      </c>
    </row>
    <row r="10" spans="1:11" ht="12.75">
      <c r="A10" s="58" t="s">
        <v>710</v>
      </c>
      <c r="B10" s="58" t="s">
        <v>694</v>
      </c>
      <c r="C10" s="58" t="s">
        <v>709</v>
      </c>
      <c r="D10" s="58" t="str">
        <f>"0,6743"</f>
        <v>0,6743</v>
      </c>
      <c r="E10" s="58" t="s">
        <v>217</v>
      </c>
      <c r="F10" s="58" t="s">
        <v>19</v>
      </c>
      <c r="G10" s="59" t="s">
        <v>242</v>
      </c>
      <c r="H10" s="60" t="s">
        <v>689</v>
      </c>
      <c r="I10" s="58" t="str">
        <f>"1782,5"</f>
        <v>1782,5</v>
      </c>
      <c r="J10" s="59" t="str">
        <f>"1201,8506"</f>
        <v>1201,8506</v>
      </c>
      <c r="K10" s="58" t="s">
        <v>21</v>
      </c>
    </row>
    <row r="11" spans="1:11" ht="12.75">
      <c r="A11" s="52" t="s">
        <v>708</v>
      </c>
      <c r="B11" s="52" t="s">
        <v>707</v>
      </c>
      <c r="C11" s="52" t="s">
        <v>706</v>
      </c>
      <c r="D11" s="52" t="str">
        <f>"0,6583"</f>
        <v>0,6583</v>
      </c>
      <c r="E11" s="52" t="s">
        <v>217</v>
      </c>
      <c r="F11" s="52" t="s">
        <v>28</v>
      </c>
      <c r="G11" s="53" t="s">
        <v>258</v>
      </c>
      <c r="H11" s="54" t="s">
        <v>705</v>
      </c>
      <c r="I11" s="52" t="str">
        <f>"1040,0"</f>
        <v>1040,0</v>
      </c>
      <c r="J11" s="53" t="str">
        <f>"684,6840"</f>
        <v>684,6840</v>
      </c>
      <c r="K11" s="52" t="s">
        <v>21</v>
      </c>
    </row>
    <row r="13" spans="1:10" ht="15">
      <c r="A13" s="81" t="s">
        <v>177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1" ht="12.75">
      <c r="A14" s="49" t="s">
        <v>704</v>
      </c>
      <c r="B14" s="49" t="s">
        <v>185</v>
      </c>
      <c r="C14" s="49" t="s">
        <v>186</v>
      </c>
      <c r="D14" s="49" t="str">
        <f>"0,6363"</f>
        <v>0,6363</v>
      </c>
      <c r="E14" s="49" t="s">
        <v>18</v>
      </c>
      <c r="F14" s="49" t="s">
        <v>19</v>
      </c>
      <c r="G14" s="50" t="s">
        <v>115</v>
      </c>
      <c r="H14" s="51" t="s">
        <v>148</v>
      </c>
      <c r="I14" s="49" t="str">
        <f>"2975,0"</f>
        <v>2975,0</v>
      </c>
      <c r="J14" s="50" t="str">
        <f>"1892,9926"</f>
        <v>1892,9926</v>
      </c>
      <c r="K14" s="49" t="s">
        <v>21</v>
      </c>
    </row>
    <row r="16" spans="1:10" ht="15">
      <c r="A16" s="81" t="s">
        <v>85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1" ht="12.75">
      <c r="A17" s="55" t="s">
        <v>699</v>
      </c>
      <c r="B17" s="55" t="s">
        <v>703</v>
      </c>
      <c r="C17" s="55" t="s">
        <v>697</v>
      </c>
      <c r="D17" s="55" t="str">
        <f>"0,6029"</f>
        <v>0,6029</v>
      </c>
      <c r="E17" s="55" t="s">
        <v>38</v>
      </c>
      <c r="F17" s="55" t="s">
        <v>19</v>
      </c>
      <c r="G17" s="56" t="s">
        <v>116</v>
      </c>
      <c r="H17" s="57" t="s">
        <v>696</v>
      </c>
      <c r="I17" s="55" t="str">
        <f>"2960,0"</f>
        <v>2960,0</v>
      </c>
      <c r="J17" s="56" t="str">
        <f>"1802,5793"</f>
        <v>1802,5793</v>
      </c>
      <c r="K17" s="55" t="s">
        <v>21</v>
      </c>
    </row>
    <row r="18" spans="1:11" ht="12.75">
      <c r="A18" s="58" t="s">
        <v>702</v>
      </c>
      <c r="B18" s="58" t="s">
        <v>694</v>
      </c>
      <c r="C18" s="58" t="s">
        <v>701</v>
      </c>
      <c r="D18" s="58" t="str">
        <f>"0,5968"</f>
        <v>0,5968</v>
      </c>
      <c r="E18" s="58" t="s">
        <v>217</v>
      </c>
      <c r="F18" s="58" t="s">
        <v>19</v>
      </c>
      <c r="G18" s="59" t="s">
        <v>164</v>
      </c>
      <c r="H18" s="60" t="s">
        <v>700</v>
      </c>
      <c r="I18" s="58" t="str">
        <f>"2470,0"</f>
        <v>2470,0</v>
      </c>
      <c r="J18" s="59" t="str">
        <f>"1473,9726"</f>
        <v>1473,9726</v>
      </c>
      <c r="K18" s="58" t="s">
        <v>21</v>
      </c>
    </row>
    <row r="19" spans="1:11" ht="12.75">
      <c r="A19" s="52" t="s">
        <v>699</v>
      </c>
      <c r="B19" s="52" t="s">
        <v>698</v>
      </c>
      <c r="C19" s="52" t="s">
        <v>697</v>
      </c>
      <c r="D19" s="52" t="str">
        <f>"0,6029"</f>
        <v>0,6029</v>
      </c>
      <c r="E19" s="52" t="s">
        <v>38</v>
      </c>
      <c r="F19" s="52" t="s">
        <v>19</v>
      </c>
      <c r="G19" s="53" t="s">
        <v>116</v>
      </c>
      <c r="H19" s="54" t="s">
        <v>696</v>
      </c>
      <c r="I19" s="52" t="str">
        <f>"2960,0"</f>
        <v>2960,0</v>
      </c>
      <c r="J19" s="53" t="str">
        <f>"1802,5793"</f>
        <v>1802,5793</v>
      </c>
      <c r="K19" s="52" t="s">
        <v>21</v>
      </c>
    </row>
    <row r="21" spans="1:10" ht="15">
      <c r="A21" s="81" t="s">
        <v>22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1" ht="12.75">
      <c r="A22" s="55" t="s">
        <v>695</v>
      </c>
      <c r="B22" s="55" t="s">
        <v>694</v>
      </c>
      <c r="C22" s="55" t="s">
        <v>693</v>
      </c>
      <c r="D22" s="55" t="str">
        <f>"0,5642"</f>
        <v>0,5642</v>
      </c>
      <c r="E22" s="55" t="s">
        <v>38</v>
      </c>
      <c r="F22" s="55" t="s">
        <v>169</v>
      </c>
      <c r="G22" s="56" t="s">
        <v>52</v>
      </c>
      <c r="H22" s="57" t="s">
        <v>692</v>
      </c>
      <c r="I22" s="55" t="str">
        <f>"4070,0"</f>
        <v>4070,0</v>
      </c>
      <c r="J22" s="56" t="str">
        <f>"2296,4975"</f>
        <v>2296,4975</v>
      </c>
      <c r="K22" s="55" t="s">
        <v>21</v>
      </c>
    </row>
    <row r="23" spans="1:11" ht="12.75">
      <c r="A23" s="52" t="s">
        <v>209</v>
      </c>
      <c r="B23" s="52" t="s">
        <v>691</v>
      </c>
      <c r="C23" s="52" t="s">
        <v>211</v>
      </c>
      <c r="D23" s="52" t="str">
        <f>"0,5731"</f>
        <v>0,5731</v>
      </c>
      <c r="E23" s="52" t="s">
        <v>217</v>
      </c>
      <c r="F23" s="52" t="s">
        <v>28</v>
      </c>
      <c r="G23" s="53" t="s">
        <v>176</v>
      </c>
      <c r="H23" s="54" t="s">
        <v>690</v>
      </c>
      <c r="I23" s="52" t="str">
        <f>"2100,0"</f>
        <v>2100,0</v>
      </c>
      <c r="J23" s="53" t="str">
        <f>"1285,4608"</f>
        <v>1285,4608</v>
      </c>
      <c r="K23" s="52" t="s">
        <v>21</v>
      </c>
    </row>
    <row r="25" spans="1:10" ht="15">
      <c r="A25" s="81" t="s">
        <v>212</v>
      </c>
      <c r="B25" s="82"/>
      <c r="C25" s="82"/>
      <c r="D25" s="82"/>
      <c r="E25" s="82"/>
      <c r="F25" s="82"/>
      <c r="G25" s="82"/>
      <c r="H25" s="82"/>
      <c r="I25" s="82"/>
      <c r="J25" s="82"/>
    </row>
    <row r="26" spans="1:11" ht="12.75">
      <c r="A26" s="49" t="s">
        <v>214</v>
      </c>
      <c r="B26" s="49" t="s">
        <v>215</v>
      </c>
      <c r="C26" s="49" t="s">
        <v>216</v>
      </c>
      <c r="D26" s="49" t="str">
        <f>"0,5446"</f>
        <v>0,5446</v>
      </c>
      <c r="E26" s="49" t="s">
        <v>217</v>
      </c>
      <c r="F26" s="49" t="s">
        <v>19</v>
      </c>
      <c r="G26" s="50" t="s">
        <v>417</v>
      </c>
      <c r="H26" s="51" t="s">
        <v>689</v>
      </c>
      <c r="I26" s="49" t="str">
        <f>"2932,5"</f>
        <v>2932,5</v>
      </c>
      <c r="J26" s="50" t="str">
        <f>"1597,0102"</f>
        <v>1597,0102</v>
      </c>
      <c r="K26" s="49" t="s">
        <v>21</v>
      </c>
    </row>
    <row r="28" ht="15">
      <c r="E28" s="9" t="s">
        <v>643</v>
      </c>
    </row>
    <row r="29" ht="15">
      <c r="E29" s="9" t="s">
        <v>646</v>
      </c>
    </row>
    <row r="30" ht="15">
      <c r="E30" s="9" t="s">
        <v>644</v>
      </c>
    </row>
    <row r="31" ht="15">
      <c r="E31" s="9" t="s">
        <v>645</v>
      </c>
    </row>
    <row r="32" ht="15">
      <c r="E32" s="9" t="s">
        <v>648</v>
      </c>
    </row>
    <row r="33" ht="15">
      <c r="E33" s="9" t="s">
        <v>647</v>
      </c>
    </row>
    <row r="34" ht="15">
      <c r="E34" s="9"/>
    </row>
    <row r="36" spans="1:2" ht="18">
      <c r="A36" s="10" t="s">
        <v>40</v>
      </c>
      <c r="B36" s="10"/>
    </row>
    <row r="37" spans="1:2" ht="15">
      <c r="A37" s="11" t="s">
        <v>41</v>
      </c>
      <c r="B37" s="11"/>
    </row>
    <row r="38" spans="1:2" ht="14.25">
      <c r="A38" s="13"/>
      <c r="B38" s="14" t="s">
        <v>51</v>
      </c>
    </row>
    <row r="39" spans="1:5" ht="15">
      <c r="A39" s="15" t="s">
        <v>43</v>
      </c>
      <c r="B39" s="15" t="s">
        <v>44</v>
      </c>
      <c r="C39" s="15" t="s">
        <v>45</v>
      </c>
      <c r="D39" s="15" t="s">
        <v>46</v>
      </c>
      <c r="E39" s="15" t="s">
        <v>47</v>
      </c>
    </row>
    <row r="40" spans="1:5" ht="12.75">
      <c r="A40" s="48" t="s">
        <v>688</v>
      </c>
      <c r="B40" s="46" t="s">
        <v>51</v>
      </c>
      <c r="C40" s="46" t="s">
        <v>52</v>
      </c>
      <c r="D40" s="46" t="s">
        <v>687</v>
      </c>
      <c r="E40" s="16" t="s">
        <v>686</v>
      </c>
    </row>
    <row r="41" spans="1:5" ht="12.75">
      <c r="A41" s="48" t="s">
        <v>183</v>
      </c>
      <c r="B41" s="46" t="s">
        <v>51</v>
      </c>
      <c r="C41" s="46" t="s">
        <v>163</v>
      </c>
      <c r="D41" s="46" t="s">
        <v>685</v>
      </c>
      <c r="E41" s="16" t="s">
        <v>684</v>
      </c>
    </row>
    <row r="42" spans="1:5" ht="12.75">
      <c r="A42" s="48" t="s">
        <v>683</v>
      </c>
      <c r="B42" s="46" t="s">
        <v>51</v>
      </c>
      <c r="C42" s="46" t="s">
        <v>303</v>
      </c>
      <c r="D42" s="46" t="s">
        <v>682</v>
      </c>
      <c r="E42" s="16" t="s">
        <v>681</v>
      </c>
    </row>
    <row r="43" spans="1:5" ht="12.75">
      <c r="A43" s="48" t="s">
        <v>680</v>
      </c>
      <c r="B43" s="46" t="s">
        <v>51</v>
      </c>
      <c r="C43" s="46" t="s">
        <v>54</v>
      </c>
      <c r="D43" s="46" t="s">
        <v>679</v>
      </c>
      <c r="E43" s="16" t="s">
        <v>678</v>
      </c>
    </row>
    <row r="44" spans="1:5" ht="12.75">
      <c r="A44" s="48" t="s">
        <v>213</v>
      </c>
      <c r="B44" s="46" t="s">
        <v>51</v>
      </c>
      <c r="C44" s="46" t="s">
        <v>91</v>
      </c>
      <c r="D44" s="46" t="s">
        <v>677</v>
      </c>
      <c r="E44" s="16" t="s">
        <v>676</v>
      </c>
    </row>
    <row r="45" spans="1:5" ht="12.75">
      <c r="A45" s="48" t="s">
        <v>675</v>
      </c>
      <c r="B45" s="46" t="s">
        <v>51</v>
      </c>
      <c r="C45" s="46" t="s">
        <v>20</v>
      </c>
      <c r="D45" s="46" t="s">
        <v>674</v>
      </c>
      <c r="E45" s="16" t="s">
        <v>673</v>
      </c>
    </row>
    <row r="46" spans="1:5" ht="12.75">
      <c r="A46" s="48" t="s">
        <v>672</v>
      </c>
      <c r="B46" s="46" t="s">
        <v>51</v>
      </c>
      <c r="C46" s="46" t="s">
        <v>54</v>
      </c>
      <c r="D46" s="46" t="s">
        <v>671</v>
      </c>
      <c r="E46" s="16" t="s">
        <v>670</v>
      </c>
    </row>
    <row r="47" spans="1:5" ht="12.75">
      <c r="A47" s="48" t="s">
        <v>669</v>
      </c>
      <c r="B47" s="46" t="s">
        <v>51</v>
      </c>
      <c r="C47" s="46" t="s">
        <v>54</v>
      </c>
      <c r="D47" s="46" t="s">
        <v>668</v>
      </c>
      <c r="E47" s="16" t="s">
        <v>667</v>
      </c>
    </row>
    <row r="49" spans="1:2" ht="14.25">
      <c r="A49" s="13"/>
      <c r="B49" s="14" t="s">
        <v>107</v>
      </c>
    </row>
    <row r="50" spans="1:5" ht="15">
      <c r="A50" s="15" t="s">
        <v>43</v>
      </c>
      <c r="B50" s="15" t="s">
        <v>44</v>
      </c>
      <c r="C50" s="15" t="s">
        <v>45</v>
      </c>
      <c r="D50" s="15" t="s">
        <v>46</v>
      </c>
      <c r="E50" s="15" t="s">
        <v>47</v>
      </c>
    </row>
    <row r="51" spans="1:5" ht="12.75">
      <c r="A51" s="48" t="s">
        <v>666</v>
      </c>
      <c r="B51" s="46" t="s">
        <v>651</v>
      </c>
      <c r="C51" s="46" t="s">
        <v>20</v>
      </c>
      <c r="D51" s="46" t="s">
        <v>665</v>
      </c>
      <c r="E51" s="16" t="s">
        <v>664</v>
      </c>
    </row>
    <row r="52" spans="1:5" ht="12.75">
      <c r="A52" s="48" t="s">
        <v>208</v>
      </c>
      <c r="B52" s="46" t="s">
        <v>651</v>
      </c>
      <c r="C52" s="46" t="s">
        <v>52</v>
      </c>
      <c r="D52" s="46" t="s">
        <v>663</v>
      </c>
      <c r="E52" s="16" t="s">
        <v>662</v>
      </c>
    </row>
  </sheetData>
  <sheetProtection/>
  <mergeCells count="17">
    <mergeCell ref="A1:K2"/>
    <mergeCell ref="A3:A4"/>
    <mergeCell ref="B3:B4"/>
    <mergeCell ref="C3:C4"/>
    <mergeCell ref="D3:D4"/>
    <mergeCell ref="E3:E4"/>
    <mergeCell ref="F3:F4"/>
    <mergeCell ref="G3:H3"/>
    <mergeCell ref="A16:J16"/>
    <mergeCell ref="A21:J21"/>
    <mergeCell ref="A25:J25"/>
    <mergeCell ref="I3:I4"/>
    <mergeCell ref="J3:J4"/>
    <mergeCell ref="K3:K4"/>
    <mergeCell ref="A5:J5"/>
    <mergeCell ref="A8:J8"/>
    <mergeCell ref="A13:J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16.75390625" style="5" bestFit="1" customWidth="1"/>
    <col min="7" max="7" width="4.625" style="4" bestFit="1" customWidth="1"/>
    <col min="8" max="8" width="4.625" style="42" bestFit="1" customWidth="1"/>
    <col min="9" max="9" width="7.875" style="5" bestFit="1" customWidth="1"/>
    <col min="10" max="10" width="9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83" t="s">
        <v>794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661</v>
      </c>
      <c r="H3" s="93"/>
      <c r="I3" s="93" t="s">
        <v>660</v>
      </c>
      <c r="J3" s="93" t="s">
        <v>6</v>
      </c>
      <c r="K3" s="77" t="s">
        <v>5</v>
      </c>
    </row>
    <row r="4" spans="1:11" s="1" customFormat="1" ht="21" customHeight="1" thickBot="1">
      <c r="A4" s="90"/>
      <c r="B4" s="92"/>
      <c r="C4" s="92"/>
      <c r="D4" s="92"/>
      <c r="E4" s="92"/>
      <c r="F4" s="92"/>
      <c r="G4" s="2" t="s">
        <v>659</v>
      </c>
      <c r="H4" s="44" t="s">
        <v>658</v>
      </c>
      <c r="I4" s="92"/>
      <c r="J4" s="92"/>
      <c r="K4" s="78"/>
    </row>
    <row r="5" spans="1:10" ht="15">
      <c r="A5" s="79" t="s">
        <v>143</v>
      </c>
      <c r="B5" s="80"/>
      <c r="C5" s="80"/>
      <c r="D5" s="80"/>
      <c r="E5" s="80"/>
      <c r="F5" s="80"/>
      <c r="G5" s="80"/>
      <c r="H5" s="80"/>
      <c r="I5" s="80"/>
      <c r="J5" s="80"/>
    </row>
    <row r="6" spans="1:11" ht="12.75">
      <c r="A6" s="6" t="s">
        <v>345</v>
      </c>
      <c r="B6" s="6" t="s">
        <v>346</v>
      </c>
      <c r="C6" s="6" t="s">
        <v>726</v>
      </c>
      <c r="D6" s="6" t="str">
        <f>"1,1178"</f>
        <v>1,1178</v>
      </c>
      <c r="E6" s="6" t="s">
        <v>18</v>
      </c>
      <c r="F6" s="6" t="s">
        <v>19</v>
      </c>
      <c r="G6" s="8" t="s">
        <v>722</v>
      </c>
      <c r="H6" s="43" t="s">
        <v>689</v>
      </c>
      <c r="I6" s="6" t="str">
        <f>"632,5"</f>
        <v>632,5</v>
      </c>
      <c r="J6" s="8" t="str">
        <f>"707,0085"</f>
        <v>707,0085</v>
      </c>
      <c r="K6" s="6" t="s">
        <v>21</v>
      </c>
    </row>
    <row r="8" spans="1:10" ht="15">
      <c r="A8" s="81" t="s">
        <v>157</v>
      </c>
      <c r="B8" s="82"/>
      <c r="C8" s="82"/>
      <c r="D8" s="82"/>
      <c r="E8" s="82"/>
      <c r="F8" s="82"/>
      <c r="G8" s="82"/>
      <c r="H8" s="82"/>
      <c r="I8" s="82"/>
      <c r="J8" s="82"/>
    </row>
    <row r="9" spans="1:11" ht="12.75">
      <c r="A9" s="6" t="s">
        <v>725</v>
      </c>
      <c r="B9" s="6" t="s">
        <v>724</v>
      </c>
      <c r="C9" s="6" t="s">
        <v>723</v>
      </c>
      <c r="D9" s="6" t="str">
        <f>"1,0748"</f>
        <v>1,0748</v>
      </c>
      <c r="E9" s="6" t="s">
        <v>38</v>
      </c>
      <c r="F9" s="6" t="s">
        <v>19</v>
      </c>
      <c r="G9" s="8" t="s">
        <v>722</v>
      </c>
      <c r="H9" s="43" t="s">
        <v>711</v>
      </c>
      <c r="I9" s="6" t="str">
        <f>"935,0"</f>
        <v>935,0</v>
      </c>
      <c r="J9" s="8" t="str">
        <f>"1004,9380"</f>
        <v>1004,9380</v>
      </c>
      <c r="K9" s="6" t="s">
        <v>21</v>
      </c>
    </row>
    <row r="11" ht="15">
      <c r="E11" s="9" t="s">
        <v>643</v>
      </c>
    </row>
    <row r="12" ht="15">
      <c r="E12" s="9" t="s">
        <v>646</v>
      </c>
    </row>
    <row r="13" ht="15">
      <c r="E13" s="9" t="s">
        <v>644</v>
      </c>
    </row>
    <row r="14" ht="15">
      <c r="E14" s="9" t="s">
        <v>645</v>
      </c>
    </row>
    <row r="15" ht="15">
      <c r="E15" s="9" t="s">
        <v>648</v>
      </c>
    </row>
    <row r="16" ht="15">
      <c r="E16" s="9" t="s">
        <v>647</v>
      </c>
    </row>
    <row r="17" ht="15">
      <c r="E17" s="9"/>
    </row>
    <row r="19" spans="1:2" ht="18">
      <c r="A19" s="10" t="s">
        <v>40</v>
      </c>
      <c r="B19" s="10"/>
    </row>
    <row r="20" spans="1:2" ht="15">
      <c r="A20" s="11" t="s">
        <v>100</v>
      </c>
      <c r="B20" s="11"/>
    </row>
    <row r="21" spans="1:2" ht="14.25">
      <c r="A21" s="13"/>
      <c r="B21" s="14" t="s">
        <v>51</v>
      </c>
    </row>
    <row r="22" spans="1:5" ht="15">
      <c r="A22" s="15" t="s">
        <v>43</v>
      </c>
      <c r="B22" s="15" t="s">
        <v>44</v>
      </c>
      <c r="C22" s="15" t="s">
        <v>45</v>
      </c>
      <c r="D22" s="15" t="s">
        <v>46</v>
      </c>
      <c r="E22" s="15" t="s">
        <v>47</v>
      </c>
    </row>
    <row r="23" spans="1:5" ht="12.75">
      <c r="A23" s="12" t="s">
        <v>721</v>
      </c>
      <c r="B23" s="5" t="s">
        <v>51</v>
      </c>
      <c r="C23" s="5" t="s">
        <v>229</v>
      </c>
      <c r="D23" s="5" t="s">
        <v>720</v>
      </c>
      <c r="E23" s="16" t="s">
        <v>719</v>
      </c>
    </row>
    <row r="24" spans="1:5" ht="12.75">
      <c r="A24" s="12" t="s">
        <v>344</v>
      </c>
      <c r="B24" s="5" t="s">
        <v>51</v>
      </c>
      <c r="C24" s="5" t="s">
        <v>219</v>
      </c>
      <c r="D24" s="5" t="s">
        <v>718</v>
      </c>
      <c r="E24" s="16" t="s">
        <v>717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113" bestFit="1" customWidth="1"/>
    <col min="2" max="2" width="28.625" style="113" bestFit="1" customWidth="1"/>
    <col min="3" max="3" width="10.625" style="113" bestFit="1" customWidth="1"/>
    <col min="4" max="4" width="8.375" style="113" bestFit="1" customWidth="1"/>
    <col min="5" max="5" width="22.75390625" style="113" bestFit="1" customWidth="1"/>
    <col min="6" max="6" width="35.75390625" style="113" bestFit="1" customWidth="1"/>
    <col min="7" max="7" width="5.625" style="114" bestFit="1" customWidth="1"/>
    <col min="8" max="8" width="4.625" style="130" bestFit="1" customWidth="1"/>
    <col min="9" max="9" width="7.875" style="113" bestFit="1" customWidth="1"/>
    <col min="10" max="10" width="9.625" style="114" bestFit="1" customWidth="1"/>
    <col min="11" max="11" width="33.625" style="113" bestFit="1" customWidth="1"/>
    <col min="12" max="16384" width="9.125" style="114" customWidth="1"/>
  </cols>
  <sheetData>
    <row r="1" spans="1:11" s="97" customFormat="1" ht="28.5" customHeight="1">
      <c r="A1" s="94" t="s">
        <v>793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s="97" customFormat="1" ht="61.5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s="105" customFormat="1" ht="12.75" customHeight="1">
      <c r="A3" s="101" t="s">
        <v>0</v>
      </c>
      <c r="B3" s="102" t="s">
        <v>9</v>
      </c>
      <c r="C3" s="102" t="s">
        <v>11</v>
      </c>
      <c r="D3" s="103" t="s">
        <v>12</v>
      </c>
      <c r="E3" s="103" t="s">
        <v>7</v>
      </c>
      <c r="F3" s="103" t="s">
        <v>10</v>
      </c>
      <c r="G3" s="103" t="s">
        <v>661</v>
      </c>
      <c r="H3" s="103"/>
      <c r="I3" s="103" t="s">
        <v>660</v>
      </c>
      <c r="J3" s="103" t="s">
        <v>6</v>
      </c>
      <c r="K3" s="104" t="s">
        <v>5</v>
      </c>
    </row>
    <row r="4" spans="1:11" s="105" customFormat="1" ht="21" customHeight="1" thickBot="1">
      <c r="A4" s="106"/>
      <c r="B4" s="107"/>
      <c r="C4" s="107"/>
      <c r="D4" s="107"/>
      <c r="E4" s="107"/>
      <c r="F4" s="107"/>
      <c r="G4" s="108" t="s">
        <v>659</v>
      </c>
      <c r="H4" s="109" t="s">
        <v>658</v>
      </c>
      <c r="I4" s="107"/>
      <c r="J4" s="107"/>
      <c r="K4" s="110"/>
    </row>
    <row r="5" spans="1:10" ht="15">
      <c r="A5" s="111" t="s">
        <v>143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1" ht="12.75">
      <c r="A6" s="115" t="s">
        <v>792</v>
      </c>
      <c r="B6" s="115" t="s">
        <v>791</v>
      </c>
      <c r="C6" s="115" t="s">
        <v>790</v>
      </c>
      <c r="D6" s="115" t="str">
        <f>"1,1549"</f>
        <v>1,1549</v>
      </c>
      <c r="E6" s="115" t="s">
        <v>38</v>
      </c>
      <c r="F6" s="115" t="s">
        <v>789</v>
      </c>
      <c r="G6" s="116" t="s">
        <v>256</v>
      </c>
      <c r="H6" s="117" t="s">
        <v>788</v>
      </c>
      <c r="I6" s="115" t="str">
        <f>"1050,0"</f>
        <v>1050,0</v>
      </c>
      <c r="J6" s="116" t="str">
        <f>"1279,3404"</f>
        <v>1279,3404</v>
      </c>
      <c r="K6" s="115" t="s">
        <v>787</v>
      </c>
    </row>
    <row r="8" spans="1:10" ht="15">
      <c r="A8" s="118" t="s">
        <v>57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1" ht="12.75">
      <c r="A9" s="120" t="s">
        <v>786</v>
      </c>
      <c r="B9" s="120" t="s">
        <v>785</v>
      </c>
      <c r="C9" s="120" t="s">
        <v>784</v>
      </c>
      <c r="D9" s="120" t="str">
        <f>"0,7314"</f>
        <v>0,7314</v>
      </c>
      <c r="E9" s="120" t="s">
        <v>38</v>
      </c>
      <c r="F9" s="120" t="s">
        <v>19</v>
      </c>
      <c r="G9" s="121" t="s">
        <v>244</v>
      </c>
      <c r="H9" s="122" t="s">
        <v>783</v>
      </c>
      <c r="I9" s="120" t="str">
        <f>"3220,0"</f>
        <v>3220,0</v>
      </c>
      <c r="J9" s="121" t="str">
        <f>"2354,9470"</f>
        <v>2354,9470</v>
      </c>
      <c r="K9" s="120" t="s">
        <v>21</v>
      </c>
    </row>
    <row r="10" spans="1:11" ht="12.75">
      <c r="A10" s="123" t="s">
        <v>782</v>
      </c>
      <c r="B10" s="123" t="s">
        <v>781</v>
      </c>
      <c r="C10" s="123" t="s">
        <v>780</v>
      </c>
      <c r="D10" s="123" t="str">
        <f>"0,7357"</f>
        <v>0,7357</v>
      </c>
      <c r="E10" s="123" t="s">
        <v>217</v>
      </c>
      <c r="F10" s="123" t="s">
        <v>19</v>
      </c>
      <c r="G10" s="124" t="s">
        <v>244</v>
      </c>
      <c r="H10" s="125" t="s">
        <v>501</v>
      </c>
      <c r="I10" s="123" t="str">
        <f>"3080,0"</f>
        <v>3080,0</v>
      </c>
      <c r="J10" s="124" t="str">
        <f>"2265,9560"</f>
        <v>2265,9560</v>
      </c>
      <c r="K10" s="123" t="s">
        <v>21</v>
      </c>
    </row>
    <row r="11" spans="1:11" ht="12.75">
      <c r="A11" s="126" t="s">
        <v>779</v>
      </c>
      <c r="B11" s="126" t="s">
        <v>778</v>
      </c>
      <c r="C11" s="126" t="s">
        <v>777</v>
      </c>
      <c r="D11" s="126" t="str">
        <f>"0,6940"</f>
        <v>0,6940</v>
      </c>
      <c r="E11" s="126" t="s">
        <v>379</v>
      </c>
      <c r="F11" s="126" t="s">
        <v>19</v>
      </c>
      <c r="G11" s="127" t="s">
        <v>101</v>
      </c>
      <c r="H11" s="128" t="s">
        <v>776</v>
      </c>
      <c r="I11" s="126" t="str">
        <f>"2025,0"</f>
        <v>2025,0</v>
      </c>
      <c r="J11" s="127" t="str">
        <f>"1405,3500"</f>
        <v>1405,3500</v>
      </c>
      <c r="K11" s="126" t="s">
        <v>775</v>
      </c>
    </row>
    <row r="13" spans="1:10" ht="15">
      <c r="A13" s="118" t="s">
        <v>13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1" ht="12.75">
      <c r="A14" s="120" t="s">
        <v>420</v>
      </c>
      <c r="B14" s="120" t="s">
        <v>421</v>
      </c>
      <c r="C14" s="120" t="s">
        <v>422</v>
      </c>
      <c r="D14" s="120" t="str">
        <f>"0,6497"</f>
        <v>0,6497</v>
      </c>
      <c r="E14" s="120" t="s">
        <v>217</v>
      </c>
      <c r="F14" s="120" t="s">
        <v>19</v>
      </c>
      <c r="G14" s="121" t="s">
        <v>54</v>
      </c>
      <c r="H14" s="122" t="s">
        <v>696</v>
      </c>
      <c r="I14" s="120" t="str">
        <f>"2640,0"</f>
        <v>2640,0</v>
      </c>
      <c r="J14" s="121" t="str">
        <f>"1715,3400"</f>
        <v>1715,3400</v>
      </c>
      <c r="K14" s="120" t="s">
        <v>21</v>
      </c>
    </row>
    <row r="15" spans="1:11" ht="12.75">
      <c r="A15" s="123" t="s">
        <v>596</v>
      </c>
      <c r="B15" s="123" t="s">
        <v>597</v>
      </c>
      <c r="C15" s="123" t="s">
        <v>598</v>
      </c>
      <c r="D15" s="123" t="str">
        <f>"0,6768"</f>
        <v>0,6768</v>
      </c>
      <c r="E15" s="123" t="s">
        <v>18</v>
      </c>
      <c r="F15" s="123" t="s">
        <v>19</v>
      </c>
      <c r="G15" s="124" t="s">
        <v>242</v>
      </c>
      <c r="H15" s="125" t="s">
        <v>696</v>
      </c>
      <c r="I15" s="123" t="str">
        <f>"2480,0"</f>
        <v>2480,0</v>
      </c>
      <c r="J15" s="124" t="str">
        <f>"1678,3400"</f>
        <v>1678,3400</v>
      </c>
      <c r="K15" s="123" t="s">
        <v>21</v>
      </c>
    </row>
    <row r="16" spans="1:11" ht="12.75">
      <c r="A16" s="126" t="s">
        <v>774</v>
      </c>
      <c r="B16" s="126" t="s">
        <v>773</v>
      </c>
      <c r="C16" s="126" t="s">
        <v>772</v>
      </c>
      <c r="D16" s="126" t="str">
        <f>"0,6618"</f>
        <v>0,6618</v>
      </c>
      <c r="E16" s="126" t="s">
        <v>38</v>
      </c>
      <c r="F16" s="126" t="s">
        <v>771</v>
      </c>
      <c r="G16" s="127" t="s">
        <v>258</v>
      </c>
      <c r="H16" s="128" t="s">
        <v>148</v>
      </c>
      <c r="I16" s="126" t="str">
        <f>"2800,0"</f>
        <v>2800,0</v>
      </c>
      <c r="J16" s="127" t="str">
        <f>"1871,4291"</f>
        <v>1871,4291</v>
      </c>
      <c r="K16" s="126" t="s">
        <v>21</v>
      </c>
    </row>
    <row r="18" spans="1:10" ht="15">
      <c r="A18" s="118" t="s">
        <v>177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1" ht="12.75">
      <c r="A19" s="120" t="s">
        <v>770</v>
      </c>
      <c r="B19" s="120" t="s">
        <v>769</v>
      </c>
      <c r="C19" s="120" t="s">
        <v>768</v>
      </c>
      <c r="D19" s="120" t="str">
        <f>"0,6308"</f>
        <v>0,6308</v>
      </c>
      <c r="E19" s="120" t="s">
        <v>217</v>
      </c>
      <c r="F19" s="120" t="s">
        <v>614</v>
      </c>
      <c r="G19" s="121" t="s">
        <v>245</v>
      </c>
      <c r="H19" s="122" t="s">
        <v>692</v>
      </c>
      <c r="I19" s="120" t="str">
        <f>"3237,5"</f>
        <v>3237,5</v>
      </c>
      <c r="J19" s="121" t="str">
        <f>"2042,2150"</f>
        <v>2042,2150</v>
      </c>
      <c r="K19" s="120" t="s">
        <v>21</v>
      </c>
    </row>
    <row r="20" spans="1:11" ht="12.75">
      <c r="A20" s="123" t="s">
        <v>766</v>
      </c>
      <c r="B20" s="123" t="s">
        <v>767</v>
      </c>
      <c r="C20" s="123" t="s">
        <v>764</v>
      </c>
      <c r="D20" s="123" t="str">
        <f>"0,6345"</f>
        <v>0,6345</v>
      </c>
      <c r="E20" s="123" t="s">
        <v>38</v>
      </c>
      <c r="F20" s="123" t="s">
        <v>19</v>
      </c>
      <c r="G20" s="124" t="s">
        <v>115</v>
      </c>
      <c r="H20" s="125" t="s">
        <v>654</v>
      </c>
      <c r="I20" s="123" t="str">
        <f>"2465,0"</f>
        <v>2465,0</v>
      </c>
      <c r="J20" s="124" t="str">
        <f>"1563,9193"</f>
        <v>1563,9193</v>
      </c>
      <c r="K20" s="123" t="s">
        <v>21</v>
      </c>
    </row>
    <row r="21" spans="1:11" ht="12.75">
      <c r="A21" s="126" t="s">
        <v>766</v>
      </c>
      <c r="B21" s="126" t="s">
        <v>765</v>
      </c>
      <c r="C21" s="126" t="s">
        <v>764</v>
      </c>
      <c r="D21" s="126" t="str">
        <f>"0,6345"</f>
        <v>0,6345</v>
      </c>
      <c r="E21" s="126" t="s">
        <v>38</v>
      </c>
      <c r="F21" s="126" t="s">
        <v>19</v>
      </c>
      <c r="G21" s="127" t="s">
        <v>115</v>
      </c>
      <c r="H21" s="128" t="s">
        <v>654</v>
      </c>
      <c r="I21" s="126" t="str">
        <f>"2465,0"</f>
        <v>2465,0</v>
      </c>
      <c r="J21" s="127" t="str">
        <f>"1595,1977"</f>
        <v>1595,1977</v>
      </c>
      <c r="K21" s="126" t="s">
        <v>21</v>
      </c>
    </row>
    <row r="23" spans="1:10" ht="15">
      <c r="A23" s="118" t="s">
        <v>22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1" ht="12.75">
      <c r="A24" s="120" t="s">
        <v>482</v>
      </c>
      <c r="B24" s="120" t="s">
        <v>763</v>
      </c>
      <c r="C24" s="120" t="s">
        <v>484</v>
      </c>
      <c r="D24" s="120" t="str">
        <f>"0,5638"</f>
        <v>0,5638</v>
      </c>
      <c r="E24" s="120" t="s">
        <v>217</v>
      </c>
      <c r="F24" s="120" t="s">
        <v>19</v>
      </c>
      <c r="G24" s="121" t="s">
        <v>52</v>
      </c>
      <c r="H24" s="122" t="s">
        <v>689</v>
      </c>
      <c r="I24" s="120" t="str">
        <f>"2530,0"</f>
        <v>2530,0</v>
      </c>
      <c r="J24" s="121" t="str">
        <f>"1426,4139"</f>
        <v>1426,4139</v>
      </c>
      <c r="K24" s="120" t="s">
        <v>21</v>
      </c>
    </row>
    <row r="25" spans="1:11" ht="12.75">
      <c r="A25" s="126" t="s">
        <v>762</v>
      </c>
      <c r="B25" s="126" t="s">
        <v>761</v>
      </c>
      <c r="C25" s="126" t="s">
        <v>760</v>
      </c>
      <c r="D25" s="126" t="str">
        <f>"0,5802"</f>
        <v>0,5802</v>
      </c>
      <c r="E25" s="126" t="s">
        <v>217</v>
      </c>
      <c r="F25" s="126" t="s">
        <v>19</v>
      </c>
      <c r="G25" s="127" t="s">
        <v>759</v>
      </c>
      <c r="H25" s="128" t="s">
        <v>758</v>
      </c>
      <c r="I25" s="126" t="str">
        <f>"2460,0"</f>
        <v>2460,0</v>
      </c>
      <c r="J25" s="127" t="str">
        <f>"1427,1690"</f>
        <v>1427,1690</v>
      </c>
      <c r="K25" s="126" t="s">
        <v>21</v>
      </c>
    </row>
    <row r="27" ht="15">
      <c r="E27" s="129" t="s">
        <v>643</v>
      </c>
    </row>
    <row r="28" ht="15">
      <c r="E28" s="129" t="s">
        <v>646</v>
      </c>
    </row>
    <row r="29" ht="15">
      <c r="E29" s="129" t="s">
        <v>644</v>
      </c>
    </row>
    <row r="30" ht="15">
      <c r="E30" s="129" t="s">
        <v>645</v>
      </c>
    </row>
    <row r="31" ht="15">
      <c r="E31" s="129" t="s">
        <v>648</v>
      </c>
    </row>
    <row r="32" ht="15">
      <c r="E32" s="129" t="s">
        <v>647</v>
      </c>
    </row>
    <row r="33" ht="15">
      <c r="E33" s="129"/>
    </row>
    <row r="35" spans="1:2" ht="18">
      <c r="A35" s="131" t="s">
        <v>40</v>
      </c>
      <c r="B35" s="131"/>
    </row>
    <row r="36" spans="1:2" ht="15">
      <c r="A36" s="132" t="s">
        <v>100</v>
      </c>
      <c r="B36" s="132"/>
    </row>
    <row r="37" spans="1:2" ht="14.25">
      <c r="A37" s="133"/>
      <c r="B37" s="134" t="s">
        <v>107</v>
      </c>
    </row>
    <row r="38" spans="1:5" ht="15">
      <c r="A38" s="135" t="s">
        <v>43</v>
      </c>
      <c r="B38" s="135" t="s">
        <v>44</v>
      </c>
      <c r="C38" s="135" t="s">
        <v>45</v>
      </c>
      <c r="D38" s="135" t="s">
        <v>46</v>
      </c>
      <c r="E38" s="135" t="s">
        <v>47</v>
      </c>
    </row>
    <row r="39" spans="1:5" ht="12.75">
      <c r="A39" s="136" t="s">
        <v>757</v>
      </c>
      <c r="B39" s="113" t="s">
        <v>651</v>
      </c>
      <c r="C39" s="113" t="s">
        <v>219</v>
      </c>
      <c r="D39" s="113" t="s">
        <v>756</v>
      </c>
      <c r="E39" s="137" t="s">
        <v>755</v>
      </c>
    </row>
    <row r="42" spans="1:2" ht="15">
      <c r="A42" s="132" t="s">
        <v>41</v>
      </c>
      <c r="B42" s="132"/>
    </row>
    <row r="43" spans="1:2" ht="14.25">
      <c r="A43" s="133"/>
      <c r="B43" s="134" t="s">
        <v>42</v>
      </c>
    </row>
    <row r="44" spans="1:5" ht="15">
      <c r="A44" s="135" t="s">
        <v>43</v>
      </c>
      <c r="B44" s="135" t="s">
        <v>44</v>
      </c>
      <c r="C44" s="135" t="s">
        <v>45</v>
      </c>
      <c r="D44" s="135" t="s">
        <v>46</v>
      </c>
      <c r="E44" s="135" t="s">
        <v>47</v>
      </c>
    </row>
    <row r="45" spans="1:5" ht="12.75">
      <c r="A45" s="136" t="s">
        <v>754</v>
      </c>
      <c r="B45" s="113" t="s">
        <v>48</v>
      </c>
      <c r="C45" s="113" t="s">
        <v>163</v>
      </c>
      <c r="D45" s="113" t="s">
        <v>753</v>
      </c>
      <c r="E45" s="137" t="s">
        <v>752</v>
      </c>
    </row>
    <row r="47" spans="1:2" ht="14.25">
      <c r="A47" s="133"/>
      <c r="B47" s="134" t="s">
        <v>51</v>
      </c>
    </row>
    <row r="48" spans="1:5" ht="15">
      <c r="A48" s="135" t="s">
        <v>43</v>
      </c>
      <c r="B48" s="135" t="s">
        <v>44</v>
      </c>
      <c r="C48" s="135" t="s">
        <v>45</v>
      </c>
      <c r="D48" s="135" t="s">
        <v>46</v>
      </c>
      <c r="E48" s="135" t="s">
        <v>47</v>
      </c>
    </row>
    <row r="49" spans="1:5" ht="12.75">
      <c r="A49" s="136" t="s">
        <v>751</v>
      </c>
      <c r="B49" s="113" t="s">
        <v>51</v>
      </c>
      <c r="C49" s="113" t="s">
        <v>101</v>
      </c>
      <c r="D49" s="113" t="s">
        <v>750</v>
      </c>
      <c r="E49" s="137" t="s">
        <v>749</v>
      </c>
    </row>
    <row r="50" spans="1:5" ht="12.75">
      <c r="A50" s="136" t="s">
        <v>748</v>
      </c>
      <c r="B50" s="113" t="s">
        <v>51</v>
      </c>
      <c r="C50" s="113" t="s">
        <v>101</v>
      </c>
      <c r="D50" s="113" t="s">
        <v>747</v>
      </c>
      <c r="E50" s="137" t="s">
        <v>746</v>
      </c>
    </row>
    <row r="51" spans="1:5" ht="12.75">
      <c r="A51" s="136" t="s">
        <v>419</v>
      </c>
      <c r="B51" s="113" t="s">
        <v>51</v>
      </c>
      <c r="C51" s="113" t="s">
        <v>54</v>
      </c>
      <c r="D51" s="113" t="s">
        <v>745</v>
      </c>
      <c r="E51" s="137" t="s">
        <v>744</v>
      </c>
    </row>
    <row r="52" spans="1:5" ht="12.75">
      <c r="A52" s="136" t="s">
        <v>595</v>
      </c>
      <c r="B52" s="113" t="s">
        <v>51</v>
      </c>
      <c r="C52" s="113" t="s">
        <v>54</v>
      </c>
      <c r="D52" s="113" t="s">
        <v>743</v>
      </c>
      <c r="E52" s="137" t="s">
        <v>742</v>
      </c>
    </row>
    <row r="53" spans="1:5" ht="12.75">
      <c r="A53" s="136" t="s">
        <v>732</v>
      </c>
      <c r="B53" s="113" t="s">
        <v>51</v>
      </c>
      <c r="C53" s="113" t="s">
        <v>163</v>
      </c>
      <c r="D53" s="113" t="s">
        <v>731</v>
      </c>
      <c r="E53" s="137" t="s">
        <v>741</v>
      </c>
    </row>
    <row r="54" spans="1:5" ht="12.75">
      <c r="A54" s="136" t="s">
        <v>481</v>
      </c>
      <c r="B54" s="113" t="s">
        <v>51</v>
      </c>
      <c r="C54" s="113" t="s">
        <v>52</v>
      </c>
      <c r="D54" s="113" t="s">
        <v>740</v>
      </c>
      <c r="E54" s="137" t="s">
        <v>739</v>
      </c>
    </row>
    <row r="55" spans="1:5" ht="12.75">
      <c r="A55" s="136" t="s">
        <v>738</v>
      </c>
      <c r="B55" s="113" t="s">
        <v>51</v>
      </c>
      <c r="C55" s="113" t="s">
        <v>101</v>
      </c>
      <c r="D55" s="113" t="s">
        <v>737</v>
      </c>
      <c r="E55" s="137" t="s">
        <v>736</v>
      </c>
    </row>
    <row r="57" spans="1:2" ht="14.25">
      <c r="A57" s="133"/>
      <c r="B57" s="134" t="s">
        <v>107</v>
      </c>
    </row>
    <row r="58" spans="1:5" ht="15">
      <c r="A58" s="135" t="s">
        <v>43</v>
      </c>
      <c r="B58" s="135" t="s">
        <v>44</v>
      </c>
      <c r="C58" s="135" t="s">
        <v>45</v>
      </c>
      <c r="D58" s="135" t="s">
        <v>46</v>
      </c>
      <c r="E58" s="135" t="s">
        <v>47</v>
      </c>
    </row>
    <row r="59" spans="1:5" ht="12.75">
      <c r="A59" s="136" t="s">
        <v>735</v>
      </c>
      <c r="B59" s="113" t="s">
        <v>651</v>
      </c>
      <c r="C59" s="113" t="s">
        <v>54</v>
      </c>
      <c r="D59" s="113" t="s">
        <v>734</v>
      </c>
      <c r="E59" s="137" t="s">
        <v>733</v>
      </c>
    </row>
    <row r="60" spans="1:5" ht="12.75">
      <c r="A60" s="136" t="s">
        <v>732</v>
      </c>
      <c r="B60" s="113" t="s">
        <v>651</v>
      </c>
      <c r="C60" s="113" t="s">
        <v>163</v>
      </c>
      <c r="D60" s="113" t="s">
        <v>731</v>
      </c>
      <c r="E60" s="137" t="s">
        <v>730</v>
      </c>
    </row>
    <row r="61" spans="1:5" ht="12.75">
      <c r="A61" s="136" t="s">
        <v>729</v>
      </c>
      <c r="B61" s="113" t="s">
        <v>651</v>
      </c>
      <c r="C61" s="113" t="s">
        <v>52</v>
      </c>
      <c r="D61" s="113" t="s">
        <v>728</v>
      </c>
      <c r="E61" s="137" t="s">
        <v>727</v>
      </c>
    </row>
  </sheetData>
  <sheetProtection/>
  <mergeCells count="16">
    <mergeCell ref="A1:K2"/>
    <mergeCell ref="G3:H3"/>
    <mergeCell ref="A3:A4"/>
    <mergeCell ref="B3:B4"/>
    <mergeCell ref="C3:C4"/>
    <mergeCell ref="K3:K4"/>
    <mergeCell ref="F3:F4"/>
    <mergeCell ref="E3:E4"/>
    <mergeCell ref="A18:J18"/>
    <mergeCell ref="A23:J23"/>
    <mergeCell ref="D3:D4"/>
    <mergeCell ref="I3:I4"/>
    <mergeCell ref="J3:J4"/>
    <mergeCell ref="A5:J5"/>
    <mergeCell ref="A8:J8"/>
    <mergeCell ref="A13:J1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9.7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7.00390625" style="5" bestFit="1" customWidth="1"/>
    <col min="14" max="16384" width="9.125" style="4" customWidth="1"/>
  </cols>
  <sheetData>
    <row r="1" spans="1:13" s="3" customFormat="1" ht="28.5" customHeight="1">
      <c r="A1" s="83" t="s">
        <v>808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3</v>
      </c>
      <c r="H3" s="93"/>
      <c r="I3" s="93"/>
      <c r="J3" s="93"/>
      <c r="K3" s="93" t="s">
        <v>56</v>
      </c>
      <c r="L3" s="93" t="s">
        <v>6</v>
      </c>
      <c r="M3" s="77" t="s">
        <v>5</v>
      </c>
    </row>
    <row r="4" spans="1:13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92"/>
      <c r="L4" s="92"/>
      <c r="M4" s="78"/>
    </row>
    <row r="5" spans="1:12" ht="15">
      <c r="A5" s="79" t="s">
        <v>143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12.75">
      <c r="A6" s="6" t="s">
        <v>563</v>
      </c>
      <c r="B6" s="6" t="s">
        <v>564</v>
      </c>
      <c r="C6" s="6" t="s">
        <v>565</v>
      </c>
      <c r="D6" s="6" t="str">
        <f>"1,1604"</f>
        <v>1,1604</v>
      </c>
      <c r="E6" s="6" t="s">
        <v>62</v>
      </c>
      <c r="F6" s="6" t="s">
        <v>63</v>
      </c>
      <c r="G6" s="8" t="s">
        <v>404</v>
      </c>
      <c r="H6" s="8" t="s">
        <v>90</v>
      </c>
      <c r="I6" s="8" t="s">
        <v>49</v>
      </c>
      <c r="J6" s="7"/>
      <c r="K6" s="6" t="str">
        <f>"125,0"</f>
        <v>125,0</v>
      </c>
      <c r="L6" s="8" t="str">
        <f>"145,0500"</f>
        <v>145,0500</v>
      </c>
      <c r="M6" s="6" t="s">
        <v>21</v>
      </c>
    </row>
    <row r="8" spans="1:12" ht="15">
      <c r="A8" s="81" t="s">
        <v>358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3" ht="12.75">
      <c r="A9" s="6" t="s">
        <v>567</v>
      </c>
      <c r="B9" s="6" t="s">
        <v>568</v>
      </c>
      <c r="C9" s="6" t="s">
        <v>569</v>
      </c>
      <c r="D9" s="6" t="str">
        <f>"1,0120"</f>
        <v>1,0120</v>
      </c>
      <c r="E9" s="6" t="s">
        <v>38</v>
      </c>
      <c r="F9" s="6" t="s">
        <v>19</v>
      </c>
      <c r="G9" s="8" t="s">
        <v>176</v>
      </c>
      <c r="H9" s="8" t="s">
        <v>52</v>
      </c>
      <c r="I9" s="7" t="s">
        <v>404</v>
      </c>
      <c r="J9" s="7"/>
      <c r="K9" s="6" t="str">
        <f>"110,0"</f>
        <v>110,0</v>
      </c>
      <c r="L9" s="8" t="str">
        <f>"111,3200"</f>
        <v>111,3200</v>
      </c>
      <c r="M9" s="6" t="s">
        <v>21</v>
      </c>
    </row>
    <row r="11" spans="1:12" ht="15">
      <c r="A11" s="81" t="s">
        <v>250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3" ht="12.75">
      <c r="A12" s="6" t="s">
        <v>571</v>
      </c>
      <c r="B12" s="6" t="s">
        <v>572</v>
      </c>
      <c r="C12" s="6" t="s">
        <v>573</v>
      </c>
      <c r="D12" s="6" t="str">
        <f>"0,9244"</f>
        <v>0,9244</v>
      </c>
      <c r="E12" s="6" t="s">
        <v>38</v>
      </c>
      <c r="F12" s="6" t="s">
        <v>19</v>
      </c>
      <c r="G12" s="7" t="s">
        <v>101</v>
      </c>
      <c r="H12" s="8" t="s">
        <v>101</v>
      </c>
      <c r="I12" s="7" t="s">
        <v>54</v>
      </c>
      <c r="J12" s="7"/>
      <c r="K12" s="6" t="str">
        <f>"75,0"</f>
        <v>75,0</v>
      </c>
      <c r="L12" s="8" t="str">
        <f>"69,3300"</f>
        <v>69,3300</v>
      </c>
      <c r="M12" s="6" t="s">
        <v>21</v>
      </c>
    </row>
    <row r="14" spans="1:12" ht="15">
      <c r="A14" s="81" t="s">
        <v>57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3" ht="12.75">
      <c r="A15" s="17" t="s">
        <v>575</v>
      </c>
      <c r="B15" s="17" t="s">
        <v>576</v>
      </c>
      <c r="C15" s="17" t="s">
        <v>577</v>
      </c>
      <c r="D15" s="17" t="str">
        <f>"0,7157"</f>
        <v>0,7157</v>
      </c>
      <c r="E15" s="17" t="s">
        <v>38</v>
      </c>
      <c r="F15" s="17" t="s">
        <v>578</v>
      </c>
      <c r="G15" s="19" t="s">
        <v>280</v>
      </c>
      <c r="H15" s="19" t="s">
        <v>579</v>
      </c>
      <c r="I15" s="18" t="s">
        <v>127</v>
      </c>
      <c r="J15" s="18"/>
      <c r="K15" s="17" t="str">
        <f>"215,0"</f>
        <v>215,0</v>
      </c>
      <c r="L15" s="19" t="str">
        <f>"153,8648"</f>
        <v>153,8648</v>
      </c>
      <c r="M15" s="17" t="s">
        <v>21</v>
      </c>
    </row>
    <row r="16" spans="1:13" ht="12.75">
      <c r="A16" s="23" t="s">
        <v>580</v>
      </c>
      <c r="B16" s="23" t="s">
        <v>392</v>
      </c>
      <c r="C16" s="23" t="s">
        <v>393</v>
      </c>
      <c r="D16" s="23" t="str">
        <f>"0,7071"</f>
        <v>0,7071</v>
      </c>
      <c r="E16" s="23" t="s">
        <v>38</v>
      </c>
      <c r="F16" s="23" t="s">
        <v>19</v>
      </c>
      <c r="G16" s="25" t="s">
        <v>218</v>
      </c>
      <c r="H16" s="25" t="s">
        <v>579</v>
      </c>
      <c r="I16" s="24"/>
      <c r="J16" s="24"/>
      <c r="K16" s="23" t="str">
        <f>"215,0"</f>
        <v>215,0</v>
      </c>
      <c r="L16" s="25" t="str">
        <f>"152,0265"</f>
        <v>152,0265</v>
      </c>
      <c r="M16" s="23" t="s">
        <v>21</v>
      </c>
    </row>
    <row r="17" spans="1:13" ht="12.75">
      <c r="A17" s="23" t="s">
        <v>582</v>
      </c>
      <c r="B17" s="23" t="s">
        <v>583</v>
      </c>
      <c r="C17" s="23" t="s">
        <v>584</v>
      </c>
      <c r="D17" s="23" t="str">
        <f>"0,7049"</f>
        <v>0,7049</v>
      </c>
      <c r="E17" s="23" t="s">
        <v>585</v>
      </c>
      <c r="F17" s="23" t="s">
        <v>586</v>
      </c>
      <c r="G17" s="25" t="s">
        <v>97</v>
      </c>
      <c r="H17" s="25" t="s">
        <v>124</v>
      </c>
      <c r="I17" s="25" t="s">
        <v>218</v>
      </c>
      <c r="J17" s="24"/>
      <c r="K17" s="23" t="str">
        <f>"202,5"</f>
        <v>202,5</v>
      </c>
      <c r="L17" s="25" t="str">
        <f>"142,7321"</f>
        <v>142,7321</v>
      </c>
      <c r="M17" s="23" t="s">
        <v>21</v>
      </c>
    </row>
    <row r="18" spans="1:13" ht="12.75">
      <c r="A18" s="20" t="s">
        <v>587</v>
      </c>
      <c r="B18" s="20" t="s">
        <v>68</v>
      </c>
      <c r="C18" s="20" t="s">
        <v>69</v>
      </c>
      <c r="D18" s="20" t="str">
        <f>"0,6947"</f>
        <v>0,6947</v>
      </c>
      <c r="E18" s="20" t="s">
        <v>18</v>
      </c>
      <c r="F18" s="20" t="s">
        <v>19</v>
      </c>
      <c r="G18" s="22" t="s">
        <v>76</v>
      </c>
      <c r="H18" s="22" t="s">
        <v>123</v>
      </c>
      <c r="I18" s="22" t="s">
        <v>197</v>
      </c>
      <c r="J18" s="21"/>
      <c r="K18" s="20" t="str">
        <f>"177,5"</f>
        <v>177,5</v>
      </c>
      <c r="L18" s="22" t="str">
        <f>"123,3093"</f>
        <v>123,3093</v>
      </c>
      <c r="M18" s="20" t="s">
        <v>21</v>
      </c>
    </row>
    <row r="20" spans="1:12" ht="15">
      <c r="A20" s="81" t="s">
        <v>13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3" ht="12.75">
      <c r="A21" s="17" t="s">
        <v>589</v>
      </c>
      <c r="B21" s="17" t="s">
        <v>590</v>
      </c>
      <c r="C21" s="17" t="s">
        <v>591</v>
      </c>
      <c r="D21" s="17" t="str">
        <f>"0,6461"</f>
        <v>0,6461</v>
      </c>
      <c r="E21" s="17" t="s">
        <v>38</v>
      </c>
      <c r="F21" s="17" t="s">
        <v>19</v>
      </c>
      <c r="G21" s="19" t="s">
        <v>127</v>
      </c>
      <c r="H21" s="19" t="s">
        <v>592</v>
      </c>
      <c r="I21" s="18" t="s">
        <v>593</v>
      </c>
      <c r="J21" s="18"/>
      <c r="K21" s="17" t="str">
        <f>"235,0"</f>
        <v>235,0</v>
      </c>
      <c r="L21" s="19" t="str">
        <f>"151,8452"</f>
        <v>151,8452</v>
      </c>
      <c r="M21" s="17" t="s">
        <v>594</v>
      </c>
    </row>
    <row r="22" spans="1:13" ht="12.75">
      <c r="A22" s="23" t="s">
        <v>596</v>
      </c>
      <c r="B22" s="23" t="s">
        <v>597</v>
      </c>
      <c r="C22" s="23" t="s">
        <v>598</v>
      </c>
      <c r="D22" s="23" t="str">
        <f>"0,6768"</f>
        <v>0,6768</v>
      </c>
      <c r="E22" s="23" t="s">
        <v>18</v>
      </c>
      <c r="F22" s="23" t="s">
        <v>19</v>
      </c>
      <c r="G22" s="25" t="s">
        <v>137</v>
      </c>
      <c r="H22" s="25" t="s">
        <v>332</v>
      </c>
      <c r="I22" s="24"/>
      <c r="J22" s="24"/>
      <c r="K22" s="23" t="str">
        <f>"185,0"</f>
        <v>185,0</v>
      </c>
      <c r="L22" s="25" t="str">
        <f>"125,1988"</f>
        <v>125,1988</v>
      </c>
      <c r="M22" s="23" t="s">
        <v>21</v>
      </c>
    </row>
    <row r="23" spans="1:13" ht="12.75">
      <c r="A23" s="20" t="s">
        <v>72</v>
      </c>
      <c r="B23" s="20" t="s">
        <v>430</v>
      </c>
      <c r="C23" s="20" t="s">
        <v>74</v>
      </c>
      <c r="D23" s="20" t="str">
        <f>"0,6567"</f>
        <v>0,6567</v>
      </c>
      <c r="E23" s="20" t="s">
        <v>18</v>
      </c>
      <c r="F23" s="20" t="s">
        <v>19</v>
      </c>
      <c r="G23" s="22" t="s">
        <v>76</v>
      </c>
      <c r="H23" s="21" t="s">
        <v>138</v>
      </c>
      <c r="I23" s="21"/>
      <c r="J23" s="21"/>
      <c r="K23" s="20" t="str">
        <f>"150,0"</f>
        <v>150,0</v>
      </c>
      <c r="L23" s="22" t="str">
        <f>"99,4901"</f>
        <v>99,4901</v>
      </c>
      <c r="M23" s="20" t="s">
        <v>21</v>
      </c>
    </row>
    <row r="25" spans="1:12" ht="15">
      <c r="A25" s="81" t="s">
        <v>177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3" ht="12.75">
      <c r="A26" s="6" t="s">
        <v>600</v>
      </c>
      <c r="B26" s="6" t="s">
        <v>601</v>
      </c>
      <c r="C26" s="6" t="s">
        <v>602</v>
      </c>
      <c r="D26" s="6" t="str">
        <f>"0,6359"</f>
        <v>0,6359</v>
      </c>
      <c r="E26" s="6" t="s">
        <v>62</v>
      </c>
      <c r="F26" s="6" t="s">
        <v>63</v>
      </c>
      <c r="G26" s="8" t="s">
        <v>75</v>
      </c>
      <c r="H26" s="8" t="s">
        <v>91</v>
      </c>
      <c r="I26" s="8" t="s">
        <v>139</v>
      </c>
      <c r="J26" s="7"/>
      <c r="K26" s="6" t="str">
        <f>"145,0"</f>
        <v>145,0</v>
      </c>
      <c r="L26" s="8" t="str">
        <f>"92,1983"</f>
        <v>92,1983</v>
      </c>
      <c r="M26" s="6" t="s">
        <v>21</v>
      </c>
    </row>
    <row r="28" spans="1:12" ht="15">
      <c r="A28" s="81" t="s">
        <v>85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3" ht="12.75">
      <c r="A29" s="17" t="s">
        <v>87</v>
      </c>
      <c r="B29" s="17" t="s">
        <v>88</v>
      </c>
      <c r="C29" s="17" t="s">
        <v>89</v>
      </c>
      <c r="D29" s="17" t="str">
        <f>"0,6026"</f>
        <v>0,6026</v>
      </c>
      <c r="E29" s="17" t="s">
        <v>18</v>
      </c>
      <c r="F29" s="17" t="s">
        <v>19</v>
      </c>
      <c r="G29" s="19" t="s">
        <v>20</v>
      </c>
      <c r="H29" s="19" t="s">
        <v>91</v>
      </c>
      <c r="I29" s="18"/>
      <c r="J29" s="18"/>
      <c r="K29" s="17" t="str">
        <f>"140,0"</f>
        <v>140,0</v>
      </c>
      <c r="L29" s="19" t="str">
        <f>"84,3710"</f>
        <v>84,3710</v>
      </c>
      <c r="M29" s="17" t="s">
        <v>92</v>
      </c>
    </row>
    <row r="30" spans="1:13" ht="12.75">
      <c r="A30" s="20" t="s">
        <v>604</v>
      </c>
      <c r="B30" s="20" t="s">
        <v>605</v>
      </c>
      <c r="C30" s="20" t="s">
        <v>606</v>
      </c>
      <c r="D30" s="20" t="str">
        <f>"0,5902"</f>
        <v>0,5902</v>
      </c>
      <c r="E30" s="20" t="s">
        <v>607</v>
      </c>
      <c r="F30" s="20" t="s">
        <v>608</v>
      </c>
      <c r="G30" s="22" t="s">
        <v>218</v>
      </c>
      <c r="H30" s="22" t="s">
        <v>579</v>
      </c>
      <c r="I30" s="22" t="s">
        <v>609</v>
      </c>
      <c r="J30" s="21"/>
      <c r="K30" s="20" t="str">
        <f>"232,5"</f>
        <v>232,5</v>
      </c>
      <c r="L30" s="22" t="str">
        <f>"137,2215"</f>
        <v>137,2215</v>
      </c>
      <c r="M30" s="20" t="s">
        <v>21</v>
      </c>
    </row>
    <row r="32" spans="1:12" ht="15">
      <c r="A32" s="81" t="s">
        <v>22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3" ht="12.75">
      <c r="A33" s="17" t="s">
        <v>295</v>
      </c>
      <c r="B33" s="17" t="s">
        <v>296</v>
      </c>
      <c r="C33" s="17" t="s">
        <v>297</v>
      </c>
      <c r="D33" s="17" t="str">
        <f>"0,5640"</f>
        <v>0,5640</v>
      </c>
      <c r="E33" s="17" t="s">
        <v>38</v>
      </c>
      <c r="F33" s="17" t="s">
        <v>28</v>
      </c>
      <c r="G33" s="19" t="s">
        <v>552</v>
      </c>
      <c r="H33" s="19" t="s">
        <v>299</v>
      </c>
      <c r="I33" s="18" t="s">
        <v>30</v>
      </c>
      <c r="J33" s="18"/>
      <c r="K33" s="17" t="str">
        <f>"270,0"</f>
        <v>270,0</v>
      </c>
      <c r="L33" s="19" t="str">
        <f>"152,2665"</f>
        <v>152,2665</v>
      </c>
      <c r="M33" s="17" t="s">
        <v>21</v>
      </c>
    </row>
    <row r="34" spans="1:13" ht="12.75">
      <c r="A34" s="23" t="s">
        <v>611</v>
      </c>
      <c r="B34" s="23" t="s">
        <v>612</v>
      </c>
      <c r="C34" s="23" t="s">
        <v>613</v>
      </c>
      <c r="D34" s="23" t="str">
        <f>"0,5769"</f>
        <v>0,5769</v>
      </c>
      <c r="E34" s="23" t="s">
        <v>38</v>
      </c>
      <c r="F34" s="23" t="s">
        <v>614</v>
      </c>
      <c r="G34" s="25" t="s">
        <v>84</v>
      </c>
      <c r="H34" s="24" t="s">
        <v>541</v>
      </c>
      <c r="I34" s="25" t="s">
        <v>541</v>
      </c>
      <c r="J34" s="24"/>
      <c r="K34" s="23" t="str">
        <f>"207,5"</f>
        <v>207,5</v>
      </c>
      <c r="L34" s="25" t="str">
        <f>"119,7068"</f>
        <v>119,7068</v>
      </c>
      <c r="M34" s="23" t="s">
        <v>21</v>
      </c>
    </row>
    <row r="35" spans="1:13" ht="12.75">
      <c r="A35" s="20" t="s">
        <v>616</v>
      </c>
      <c r="B35" s="20" t="s">
        <v>617</v>
      </c>
      <c r="C35" s="20" t="s">
        <v>618</v>
      </c>
      <c r="D35" s="20" t="str">
        <f>"0,5655"</f>
        <v>0,5655</v>
      </c>
      <c r="E35" s="20" t="s">
        <v>38</v>
      </c>
      <c r="F35" s="20" t="s">
        <v>19</v>
      </c>
      <c r="G35" s="21" t="s">
        <v>127</v>
      </c>
      <c r="H35" s="22" t="s">
        <v>127</v>
      </c>
      <c r="I35" s="21" t="s">
        <v>292</v>
      </c>
      <c r="J35" s="21"/>
      <c r="K35" s="20" t="str">
        <f>"220,0"</f>
        <v>220,0</v>
      </c>
      <c r="L35" s="22" t="str">
        <f>"128,2667"</f>
        <v>128,2667</v>
      </c>
      <c r="M35" s="20" t="s">
        <v>21</v>
      </c>
    </row>
    <row r="37" ht="15">
      <c r="E37" s="9" t="s">
        <v>643</v>
      </c>
    </row>
    <row r="38" ht="15">
      <c r="E38" s="9" t="s">
        <v>646</v>
      </c>
    </row>
    <row r="39" ht="15">
      <c r="E39" s="9" t="s">
        <v>644</v>
      </c>
    </row>
    <row r="40" ht="15">
      <c r="E40" s="9" t="s">
        <v>645</v>
      </c>
    </row>
    <row r="41" ht="15">
      <c r="E41" s="9" t="s">
        <v>648</v>
      </c>
    </row>
    <row r="42" ht="15">
      <c r="E42" s="9" t="s">
        <v>647</v>
      </c>
    </row>
    <row r="43" ht="15">
      <c r="E43" s="9"/>
    </row>
    <row r="45" spans="1:2" ht="18">
      <c r="A45" s="10" t="s">
        <v>40</v>
      </c>
      <c r="B45" s="10"/>
    </row>
    <row r="46" spans="1:2" ht="15">
      <c r="A46" s="11" t="s">
        <v>100</v>
      </c>
      <c r="B46" s="11"/>
    </row>
    <row r="47" spans="1:2" ht="14.25">
      <c r="A47" s="13"/>
      <c r="B47" s="14" t="s">
        <v>51</v>
      </c>
    </row>
    <row r="48" spans="1:5" ht="15">
      <c r="A48" s="15" t="s">
        <v>43</v>
      </c>
      <c r="B48" s="15" t="s">
        <v>44</v>
      </c>
      <c r="C48" s="15" t="s">
        <v>45</v>
      </c>
      <c r="D48" s="15" t="s">
        <v>46</v>
      </c>
      <c r="E48" s="15" t="s">
        <v>47</v>
      </c>
    </row>
    <row r="49" spans="1:5" ht="12.75">
      <c r="A49" s="12" t="s">
        <v>562</v>
      </c>
      <c r="B49" s="5" t="s">
        <v>51</v>
      </c>
      <c r="C49" s="5" t="s">
        <v>219</v>
      </c>
      <c r="D49" s="5" t="s">
        <v>49</v>
      </c>
      <c r="E49" s="16" t="s">
        <v>619</v>
      </c>
    </row>
    <row r="50" spans="1:5" ht="12.75">
      <c r="A50" s="12" t="s">
        <v>566</v>
      </c>
      <c r="B50" s="5" t="s">
        <v>51</v>
      </c>
      <c r="C50" s="5" t="s">
        <v>366</v>
      </c>
      <c r="D50" s="5" t="s">
        <v>52</v>
      </c>
      <c r="E50" s="16" t="s">
        <v>620</v>
      </c>
    </row>
    <row r="51" spans="1:5" ht="12.75">
      <c r="A51" s="12" t="s">
        <v>570</v>
      </c>
      <c r="B51" s="5" t="s">
        <v>51</v>
      </c>
      <c r="C51" s="5" t="s">
        <v>303</v>
      </c>
      <c r="D51" s="5" t="s">
        <v>101</v>
      </c>
      <c r="E51" s="16" t="s">
        <v>621</v>
      </c>
    </row>
    <row r="54" spans="1:2" ht="15">
      <c r="A54" s="11" t="s">
        <v>41</v>
      </c>
      <c r="B54" s="11"/>
    </row>
    <row r="55" spans="1:2" ht="14.25">
      <c r="A55" s="13"/>
      <c r="B55" s="14" t="s">
        <v>507</v>
      </c>
    </row>
    <row r="56" spans="1:5" ht="15">
      <c r="A56" s="15" t="s">
        <v>43</v>
      </c>
      <c r="B56" s="15" t="s">
        <v>44</v>
      </c>
      <c r="C56" s="15" t="s">
        <v>45</v>
      </c>
      <c r="D56" s="15" t="s">
        <v>46</v>
      </c>
      <c r="E56" s="15" t="s">
        <v>47</v>
      </c>
    </row>
    <row r="57" spans="1:5" ht="12.75">
      <c r="A57" s="12" t="s">
        <v>599</v>
      </c>
      <c r="B57" s="5" t="s">
        <v>302</v>
      </c>
      <c r="C57" s="5" t="s">
        <v>163</v>
      </c>
      <c r="D57" s="5" t="s">
        <v>139</v>
      </c>
      <c r="E57" s="16" t="s">
        <v>622</v>
      </c>
    </row>
    <row r="59" spans="1:2" ht="14.25">
      <c r="A59" s="13"/>
      <c r="B59" s="14" t="s">
        <v>42</v>
      </c>
    </row>
    <row r="60" spans="1:5" ht="15">
      <c r="A60" s="15" t="s">
        <v>43</v>
      </c>
      <c r="B60" s="15" t="s">
        <v>44</v>
      </c>
      <c r="C60" s="15" t="s">
        <v>45</v>
      </c>
      <c r="D60" s="15" t="s">
        <v>46</v>
      </c>
      <c r="E60" s="15" t="s">
        <v>47</v>
      </c>
    </row>
    <row r="61" spans="1:5" ht="12.75">
      <c r="A61" s="12" t="s">
        <v>86</v>
      </c>
      <c r="B61" s="5" t="s">
        <v>48</v>
      </c>
      <c r="C61" s="5" t="s">
        <v>20</v>
      </c>
      <c r="D61" s="5" t="s">
        <v>91</v>
      </c>
      <c r="E61" s="16" t="s">
        <v>623</v>
      </c>
    </row>
    <row r="63" spans="1:2" ht="14.25">
      <c r="A63" s="13"/>
      <c r="B63" s="14" t="s">
        <v>51</v>
      </c>
    </row>
    <row r="64" spans="1:5" ht="15">
      <c r="A64" s="15" t="s">
        <v>43</v>
      </c>
      <c r="B64" s="15" t="s">
        <v>44</v>
      </c>
      <c r="C64" s="15" t="s">
        <v>45</v>
      </c>
      <c r="D64" s="15" t="s">
        <v>46</v>
      </c>
      <c r="E64" s="15" t="s">
        <v>47</v>
      </c>
    </row>
    <row r="65" spans="1:5" ht="12.75">
      <c r="A65" s="12" t="s">
        <v>574</v>
      </c>
      <c r="B65" s="5" t="s">
        <v>51</v>
      </c>
      <c r="C65" s="5" t="s">
        <v>101</v>
      </c>
      <c r="D65" s="5" t="s">
        <v>579</v>
      </c>
      <c r="E65" s="16" t="s">
        <v>624</v>
      </c>
    </row>
    <row r="66" spans="1:5" ht="12.75">
      <c r="A66" s="12" t="s">
        <v>294</v>
      </c>
      <c r="B66" s="5" t="s">
        <v>51</v>
      </c>
      <c r="C66" s="5" t="s">
        <v>52</v>
      </c>
      <c r="D66" s="5" t="s">
        <v>299</v>
      </c>
      <c r="E66" s="16" t="s">
        <v>625</v>
      </c>
    </row>
    <row r="67" spans="1:5" ht="12.75">
      <c r="A67" s="12" t="s">
        <v>390</v>
      </c>
      <c r="B67" s="5" t="s">
        <v>51</v>
      </c>
      <c r="C67" s="5" t="s">
        <v>101</v>
      </c>
      <c r="D67" s="5" t="s">
        <v>579</v>
      </c>
      <c r="E67" s="16" t="s">
        <v>626</v>
      </c>
    </row>
    <row r="68" spans="1:5" ht="12.75">
      <c r="A68" s="12" t="s">
        <v>588</v>
      </c>
      <c r="B68" s="5" t="s">
        <v>51</v>
      </c>
      <c r="C68" s="5" t="s">
        <v>54</v>
      </c>
      <c r="D68" s="5" t="s">
        <v>592</v>
      </c>
      <c r="E68" s="16" t="s">
        <v>627</v>
      </c>
    </row>
    <row r="69" spans="1:5" ht="12.75">
      <c r="A69" s="12" t="s">
        <v>581</v>
      </c>
      <c r="B69" s="5" t="s">
        <v>51</v>
      </c>
      <c r="C69" s="5" t="s">
        <v>101</v>
      </c>
      <c r="D69" s="5" t="s">
        <v>218</v>
      </c>
      <c r="E69" s="16" t="s">
        <v>628</v>
      </c>
    </row>
    <row r="70" spans="1:5" ht="12.75">
      <c r="A70" s="12" t="s">
        <v>603</v>
      </c>
      <c r="B70" s="5" t="s">
        <v>51</v>
      </c>
      <c r="C70" s="5" t="s">
        <v>20</v>
      </c>
      <c r="D70" s="5" t="s">
        <v>609</v>
      </c>
      <c r="E70" s="16" t="s">
        <v>629</v>
      </c>
    </row>
    <row r="71" spans="1:5" ht="12.75">
      <c r="A71" s="12" t="s">
        <v>595</v>
      </c>
      <c r="B71" s="5" t="s">
        <v>51</v>
      </c>
      <c r="C71" s="5" t="s">
        <v>54</v>
      </c>
      <c r="D71" s="5" t="s">
        <v>332</v>
      </c>
      <c r="E71" s="16" t="s">
        <v>630</v>
      </c>
    </row>
    <row r="72" spans="1:5" ht="12.75">
      <c r="A72" s="12" t="s">
        <v>66</v>
      </c>
      <c r="B72" s="5" t="s">
        <v>51</v>
      </c>
      <c r="C72" s="5" t="s">
        <v>101</v>
      </c>
      <c r="D72" s="5" t="s">
        <v>197</v>
      </c>
      <c r="E72" s="16" t="s">
        <v>631</v>
      </c>
    </row>
    <row r="73" spans="1:5" ht="12.75">
      <c r="A73" s="12" t="s">
        <v>610</v>
      </c>
      <c r="B73" s="5" t="s">
        <v>51</v>
      </c>
      <c r="C73" s="5" t="s">
        <v>52</v>
      </c>
      <c r="D73" s="5" t="s">
        <v>541</v>
      </c>
      <c r="E73" s="16" t="s">
        <v>632</v>
      </c>
    </row>
    <row r="75" spans="1:2" ht="14.25">
      <c r="A75" s="13"/>
      <c r="B75" s="14" t="s">
        <v>107</v>
      </c>
    </row>
    <row r="76" spans="1:5" ht="15">
      <c r="A76" s="15" t="s">
        <v>43</v>
      </c>
      <c r="B76" s="15" t="s">
        <v>44</v>
      </c>
      <c r="C76" s="15" t="s">
        <v>45</v>
      </c>
      <c r="D76" s="15" t="s">
        <v>46</v>
      </c>
      <c r="E76" s="15" t="s">
        <v>47</v>
      </c>
    </row>
    <row r="77" spans="1:5" ht="12.75">
      <c r="A77" s="12" t="s">
        <v>615</v>
      </c>
      <c r="B77" s="5" t="s">
        <v>221</v>
      </c>
      <c r="C77" s="5" t="s">
        <v>52</v>
      </c>
      <c r="D77" s="5" t="s">
        <v>127</v>
      </c>
      <c r="E77" s="16" t="s">
        <v>633</v>
      </c>
    </row>
    <row r="78" spans="1:5" ht="12.75">
      <c r="A78" s="12" t="s">
        <v>71</v>
      </c>
      <c r="B78" s="5" t="s">
        <v>221</v>
      </c>
      <c r="C78" s="5" t="s">
        <v>54</v>
      </c>
      <c r="D78" s="5" t="s">
        <v>76</v>
      </c>
      <c r="E78" s="16" t="s">
        <v>634</v>
      </c>
    </row>
  </sheetData>
  <sheetProtection/>
  <mergeCells count="19">
    <mergeCell ref="A14:L14"/>
    <mergeCell ref="A20:L20"/>
    <mergeCell ref="A25:L25"/>
    <mergeCell ref="A28:L28"/>
    <mergeCell ref="A32:L32"/>
    <mergeCell ref="K3:K4"/>
    <mergeCell ref="L3:L4"/>
    <mergeCell ref="F3:F4"/>
    <mergeCell ref="G3:J3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5" bestFit="1" customWidth="1"/>
    <col min="2" max="2" width="22.8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16.7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83" t="s">
        <v>807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3</v>
      </c>
      <c r="H3" s="93"/>
      <c r="I3" s="93"/>
      <c r="J3" s="93"/>
      <c r="K3" s="93" t="s">
        <v>56</v>
      </c>
      <c r="L3" s="93" t="s">
        <v>6</v>
      </c>
      <c r="M3" s="77" t="s">
        <v>5</v>
      </c>
    </row>
    <row r="4" spans="1:13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92"/>
      <c r="L4" s="92"/>
      <c r="M4" s="78"/>
    </row>
    <row r="5" spans="1:12" ht="15">
      <c r="A5" s="79" t="s">
        <v>85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12.75">
      <c r="A6" s="6" t="s">
        <v>557</v>
      </c>
      <c r="B6" s="6" t="s">
        <v>558</v>
      </c>
      <c r="C6" s="6" t="s">
        <v>559</v>
      </c>
      <c r="D6" s="6" t="str">
        <f>"0,5952"</f>
        <v>0,5952</v>
      </c>
      <c r="E6" s="6" t="s">
        <v>38</v>
      </c>
      <c r="F6" s="6" t="s">
        <v>19</v>
      </c>
      <c r="G6" s="8" t="s">
        <v>560</v>
      </c>
      <c r="H6" s="8" t="s">
        <v>31</v>
      </c>
      <c r="I6" s="8" t="s">
        <v>32</v>
      </c>
      <c r="J6" s="7"/>
      <c r="K6" s="6" t="str">
        <f>"310,0"</f>
        <v>310,0</v>
      </c>
      <c r="L6" s="8" t="str">
        <f>"184,5120"</f>
        <v>184,5120</v>
      </c>
      <c r="M6" s="6" t="s">
        <v>21</v>
      </c>
    </row>
    <row r="8" ht="15">
      <c r="E8" s="9" t="s">
        <v>643</v>
      </c>
    </row>
    <row r="9" ht="15">
      <c r="E9" s="9" t="s">
        <v>646</v>
      </c>
    </row>
    <row r="10" ht="15">
      <c r="E10" s="9" t="s">
        <v>644</v>
      </c>
    </row>
    <row r="11" ht="15">
      <c r="E11" s="9" t="s">
        <v>645</v>
      </c>
    </row>
    <row r="12" ht="15">
      <c r="E12" s="9" t="s">
        <v>648</v>
      </c>
    </row>
    <row r="13" ht="15">
      <c r="E13" s="9" t="s">
        <v>647</v>
      </c>
    </row>
    <row r="14" ht="15">
      <c r="E14" s="9"/>
    </row>
    <row r="16" spans="1:2" ht="18">
      <c r="A16" s="10" t="s">
        <v>40</v>
      </c>
      <c r="B16" s="10"/>
    </row>
    <row r="17" spans="1:2" ht="15">
      <c r="A17" s="11" t="s">
        <v>41</v>
      </c>
      <c r="B17" s="11"/>
    </row>
    <row r="18" spans="1:2" ht="14.25">
      <c r="A18" s="13"/>
      <c r="B18" s="14" t="s">
        <v>51</v>
      </c>
    </row>
    <row r="19" spans="1:5" ht="15">
      <c r="A19" s="15" t="s">
        <v>43</v>
      </c>
      <c r="B19" s="15" t="s">
        <v>44</v>
      </c>
      <c r="C19" s="15" t="s">
        <v>45</v>
      </c>
      <c r="D19" s="15" t="s">
        <v>46</v>
      </c>
      <c r="E19" s="15" t="s">
        <v>47</v>
      </c>
    </row>
    <row r="20" spans="1:5" ht="12.75">
      <c r="A20" s="12" t="s">
        <v>556</v>
      </c>
      <c r="B20" s="5" t="s">
        <v>51</v>
      </c>
      <c r="C20" s="5" t="s">
        <v>20</v>
      </c>
      <c r="D20" s="5" t="s">
        <v>32</v>
      </c>
      <c r="E20" s="16" t="s">
        <v>561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3.3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83" t="s">
        <v>806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3</v>
      </c>
      <c r="H3" s="93"/>
      <c r="I3" s="93"/>
      <c r="J3" s="93"/>
      <c r="K3" s="93" t="s">
        <v>56</v>
      </c>
      <c r="L3" s="93" t="s">
        <v>6</v>
      </c>
      <c r="M3" s="77" t="s">
        <v>5</v>
      </c>
    </row>
    <row r="4" spans="1:13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92"/>
      <c r="L4" s="92"/>
      <c r="M4" s="78"/>
    </row>
    <row r="5" spans="1:12" ht="15">
      <c r="A5" s="79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12.75">
      <c r="A6" s="6" t="s">
        <v>544</v>
      </c>
      <c r="B6" s="6" t="s">
        <v>545</v>
      </c>
      <c r="C6" s="6" t="s">
        <v>546</v>
      </c>
      <c r="D6" s="6" t="str">
        <f>"0,6990"</f>
        <v>0,6990</v>
      </c>
      <c r="E6" s="6" t="s">
        <v>38</v>
      </c>
      <c r="F6" s="6" t="s">
        <v>547</v>
      </c>
      <c r="G6" s="8" t="s">
        <v>126</v>
      </c>
      <c r="H6" s="8" t="s">
        <v>292</v>
      </c>
      <c r="I6" s="8" t="s">
        <v>548</v>
      </c>
      <c r="J6" s="7"/>
      <c r="K6" s="6" t="str">
        <f>"242,5"</f>
        <v>242,5</v>
      </c>
      <c r="L6" s="8" t="str">
        <f>"169,5075"</f>
        <v>169,5075</v>
      </c>
      <c r="M6" s="6" t="s">
        <v>21</v>
      </c>
    </row>
    <row r="8" spans="1:12" ht="15">
      <c r="A8" s="81" t="s">
        <v>13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3" ht="12.75">
      <c r="A9" s="6" t="s">
        <v>172</v>
      </c>
      <c r="B9" s="6" t="s">
        <v>173</v>
      </c>
      <c r="C9" s="6" t="s">
        <v>174</v>
      </c>
      <c r="D9" s="6" t="str">
        <f>"0,6482"</f>
        <v>0,6482</v>
      </c>
      <c r="E9" s="6" t="s">
        <v>38</v>
      </c>
      <c r="F9" s="6" t="s">
        <v>175</v>
      </c>
      <c r="G9" s="8" t="s">
        <v>137</v>
      </c>
      <c r="H9" s="8" t="s">
        <v>97</v>
      </c>
      <c r="I9" s="8" t="s">
        <v>124</v>
      </c>
      <c r="J9" s="7"/>
      <c r="K9" s="6" t="str">
        <f>"190,0"</f>
        <v>190,0</v>
      </c>
      <c r="L9" s="8" t="str">
        <f>"207,0286"</f>
        <v>207,0286</v>
      </c>
      <c r="M9" s="6" t="s">
        <v>21</v>
      </c>
    </row>
    <row r="11" spans="1:12" ht="15">
      <c r="A11" s="81" t="s">
        <v>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3" ht="12.75">
      <c r="A12" s="6" t="s">
        <v>550</v>
      </c>
      <c r="B12" s="6" t="s">
        <v>551</v>
      </c>
      <c r="C12" s="6" t="s">
        <v>26</v>
      </c>
      <c r="D12" s="6" t="str">
        <f>"0,5635"</f>
        <v>0,5635</v>
      </c>
      <c r="E12" s="6" t="s">
        <v>27</v>
      </c>
      <c r="F12" s="6" t="s">
        <v>28</v>
      </c>
      <c r="G12" s="8" t="s">
        <v>309</v>
      </c>
      <c r="H12" s="8" t="s">
        <v>39</v>
      </c>
      <c r="I12" s="8" t="s">
        <v>552</v>
      </c>
      <c r="J12" s="7"/>
      <c r="K12" s="6" t="str">
        <f>"255,0"</f>
        <v>255,0</v>
      </c>
      <c r="L12" s="8" t="str">
        <f>"143,6925"</f>
        <v>143,6925</v>
      </c>
      <c r="M12" s="6" t="s">
        <v>21</v>
      </c>
    </row>
    <row r="14" ht="15">
      <c r="E14" s="9" t="s">
        <v>643</v>
      </c>
    </row>
    <row r="15" ht="15">
      <c r="E15" s="9" t="s">
        <v>646</v>
      </c>
    </row>
    <row r="16" ht="15">
      <c r="E16" s="9" t="s">
        <v>644</v>
      </c>
    </row>
    <row r="17" ht="15">
      <c r="E17" s="9" t="s">
        <v>645</v>
      </c>
    </row>
    <row r="18" ht="15">
      <c r="E18" s="9" t="s">
        <v>648</v>
      </c>
    </row>
    <row r="19" ht="15">
      <c r="E19" s="9" t="s">
        <v>647</v>
      </c>
    </row>
    <row r="20" ht="15">
      <c r="E20" s="9"/>
    </row>
    <row r="22" spans="1:2" ht="18">
      <c r="A22" s="10" t="s">
        <v>40</v>
      </c>
      <c r="B22" s="10"/>
    </row>
    <row r="23" spans="1:2" ht="15">
      <c r="A23" s="11" t="s">
        <v>41</v>
      </c>
      <c r="B23" s="11"/>
    </row>
    <row r="24" spans="1:2" ht="14.25">
      <c r="A24" s="13"/>
      <c r="B24" s="14" t="s">
        <v>51</v>
      </c>
    </row>
    <row r="25" spans="1:5" ht="15">
      <c r="A25" s="15" t="s">
        <v>43</v>
      </c>
      <c r="B25" s="15" t="s">
        <v>44</v>
      </c>
      <c r="C25" s="15" t="s">
        <v>45</v>
      </c>
      <c r="D25" s="15" t="s">
        <v>46</v>
      </c>
      <c r="E25" s="15" t="s">
        <v>47</v>
      </c>
    </row>
    <row r="26" spans="1:5" ht="12.75">
      <c r="A26" s="12" t="s">
        <v>543</v>
      </c>
      <c r="B26" s="5" t="s">
        <v>51</v>
      </c>
      <c r="C26" s="5" t="s">
        <v>101</v>
      </c>
      <c r="D26" s="5" t="s">
        <v>548</v>
      </c>
      <c r="E26" s="16" t="s">
        <v>553</v>
      </c>
    </row>
    <row r="27" spans="1:5" ht="12.75">
      <c r="A27" s="12" t="s">
        <v>549</v>
      </c>
      <c r="B27" s="5" t="s">
        <v>51</v>
      </c>
      <c r="C27" s="5" t="s">
        <v>52</v>
      </c>
      <c r="D27" s="5" t="s">
        <v>552</v>
      </c>
      <c r="E27" s="16" t="s">
        <v>554</v>
      </c>
    </row>
    <row r="29" spans="1:2" ht="14.25">
      <c r="A29" s="13"/>
      <c r="B29" s="14" t="s">
        <v>107</v>
      </c>
    </row>
    <row r="30" spans="1:5" ht="15">
      <c r="A30" s="15" t="s">
        <v>43</v>
      </c>
      <c r="B30" s="15" t="s">
        <v>44</v>
      </c>
      <c r="C30" s="15" t="s">
        <v>45</v>
      </c>
      <c r="D30" s="15" t="s">
        <v>46</v>
      </c>
      <c r="E30" s="15" t="s">
        <v>47</v>
      </c>
    </row>
    <row r="31" spans="1:5" ht="12.75">
      <c r="A31" s="12" t="s">
        <v>171</v>
      </c>
      <c r="B31" s="5" t="s">
        <v>233</v>
      </c>
      <c r="C31" s="5" t="s">
        <v>54</v>
      </c>
      <c r="D31" s="5" t="s">
        <v>124</v>
      </c>
      <c r="E31" s="16" t="s">
        <v>555</v>
      </c>
    </row>
  </sheetData>
  <sheetProtection/>
  <mergeCells count="14"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16.7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83" t="s">
        <v>805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2</v>
      </c>
      <c r="H3" s="93"/>
      <c r="I3" s="93"/>
      <c r="J3" s="93"/>
      <c r="K3" s="93" t="s">
        <v>56</v>
      </c>
      <c r="L3" s="93" t="s">
        <v>6</v>
      </c>
      <c r="M3" s="77" t="s">
        <v>5</v>
      </c>
    </row>
    <row r="4" spans="1:13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92"/>
      <c r="L4" s="92"/>
      <c r="M4" s="78"/>
    </row>
    <row r="5" spans="1:12" ht="15">
      <c r="A5" s="79" t="s">
        <v>85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12.75">
      <c r="A6" s="6" t="s">
        <v>538</v>
      </c>
      <c r="B6" s="6" t="s">
        <v>539</v>
      </c>
      <c r="C6" s="6" t="s">
        <v>540</v>
      </c>
      <c r="D6" s="6" t="str">
        <f>"0,5850"</f>
        <v>0,5850</v>
      </c>
      <c r="E6" s="6" t="s">
        <v>217</v>
      </c>
      <c r="F6" s="6" t="s">
        <v>19</v>
      </c>
      <c r="G6" s="8" t="s">
        <v>99</v>
      </c>
      <c r="H6" s="8" t="s">
        <v>541</v>
      </c>
      <c r="I6" s="8" t="s">
        <v>333</v>
      </c>
      <c r="J6" s="7"/>
      <c r="K6" s="6" t="str">
        <f>"212,5"</f>
        <v>212,5</v>
      </c>
      <c r="L6" s="8" t="str">
        <f>"124,3231"</f>
        <v>124,3231</v>
      </c>
      <c r="M6" s="6" t="s">
        <v>21</v>
      </c>
    </row>
    <row r="8" ht="15">
      <c r="E8" s="9" t="s">
        <v>643</v>
      </c>
    </row>
    <row r="9" ht="15">
      <c r="E9" s="9" t="s">
        <v>646</v>
      </c>
    </row>
    <row r="10" ht="15">
      <c r="E10" s="9" t="s">
        <v>644</v>
      </c>
    </row>
    <row r="11" ht="15">
      <c r="E11" s="9" t="s">
        <v>645</v>
      </c>
    </row>
    <row r="12" ht="15">
      <c r="E12" s="9" t="s">
        <v>648</v>
      </c>
    </row>
    <row r="13" ht="15">
      <c r="E13" s="9" t="s">
        <v>647</v>
      </c>
    </row>
    <row r="14" ht="15">
      <c r="E14" s="9"/>
    </row>
    <row r="16" spans="1:2" ht="18">
      <c r="A16" s="10" t="s">
        <v>40</v>
      </c>
      <c r="B16" s="10"/>
    </row>
    <row r="17" spans="1:2" ht="15">
      <c r="A17" s="11" t="s">
        <v>41</v>
      </c>
      <c r="B17" s="11"/>
    </row>
    <row r="18" spans="1:2" ht="14.25">
      <c r="A18" s="13"/>
      <c r="B18" s="14" t="s">
        <v>107</v>
      </c>
    </row>
    <row r="19" spans="1:5" ht="15">
      <c r="A19" s="15" t="s">
        <v>43</v>
      </c>
      <c r="B19" s="15" t="s">
        <v>44</v>
      </c>
      <c r="C19" s="15" t="s">
        <v>45</v>
      </c>
      <c r="D19" s="15" t="s">
        <v>46</v>
      </c>
      <c r="E19" s="15" t="s">
        <v>47</v>
      </c>
    </row>
    <row r="20" spans="1:5" ht="12.75">
      <c r="A20" s="12" t="s">
        <v>537</v>
      </c>
      <c r="B20" s="5" t="s">
        <v>221</v>
      </c>
      <c r="C20" s="5" t="s">
        <v>20</v>
      </c>
      <c r="D20" s="5" t="s">
        <v>333</v>
      </c>
      <c r="E20" s="16" t="s">
        <v>542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8.8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30.25390625" style="5" bestFit="1" customWidth="1"/>
    <col min="14" max="16384" width="9.125" style="4" customWidth="1"/>
  </cols>
  <sheetData>
    <row r="1" spans="1:13" s="3" customFormat="1" ht="28.5" customHeight="1">
      <c r="A1" s="83" t="s">
        <v>804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2</v>
      </c>
      <c r="H3" s="93"/>
      <c r="I3" s="93"/>
      <c r="J3" s="93"/>
      <c r="K3" s="93" t="s">
        <v>56</v>
      </c>
      <c r="L3" s="93" t="s">
        <v>6</v>
      </c>
      <c r="M3" s="77" t="s">
        <v>5</v>
      </c>
    </row>
    <row r="4" spans="1:13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92"/>
      <c r="L4" s="92"/>
      <c r="M4" s="78"/>
    </row>
    <row r="5" spans="1:12" ht="15">
      <c r="A5" s="79" t="s">
        <v>337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12.75">
      <c r="A6" s="6" t="s">
        <v>339</v>
      </c>
      <c r="B6" s="6" t="s">
        <v>340</v>
      </c>
      <c r="C6" s="6" t="s">
        <v>341</v>
      </c>
      <c r="D6" s="6" t="str">
        <f>"1,3087"</f>
        <v>1,3087</v>
      </c>
      <c r="E6" s="6" t="s">
        <v>38</v>
      </c>
      <c r="F6" s="6" t="s">
        <v>19</v>
      </c>
      <c r="G6" s="8" t="s">
        <v>342</v>
      </c>
      <c r="H6" s="7" t="s">
        <v>343</v>
      </c>
      <c r="I6" s="7" t="s">
        <v>343</v>
      </c>
      <c r="J6" s="7"/>
      <c r="K6" s="6" t="str">
        <f>"32,5"</f>
        <v>32,5</v>
      </c>
      <c r="L6" s="8" t="str">
        <f>"42,5327"</f>
        <v>42,5327</v>
      </c>
      <c r="M6" s="6" t="s">
        <v>21</v>
      </c>
    </row>
    <row r="8" spans="1:12" ht="15">
      <c r="A8" s="81" t="s">
        <v>143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3" ht="12.75">
      <c r="A9" s="6" t="s">
        <v>345</v>
      </c>
      <c r="B9" s="6" t="s">
        <v>346</v>
      </c>
      <c r="C9" s="6" t="s">
        <v>347</v>
      </c>
      <c r="D9" s="6" t="str">
        <f>"1,1126"</f>
        <v>1,1126</v>
      </c>
      <c r="E9" s="6" t="s">
        <v>18</v>
      </c>
      <c r="F9" s="6" t="s">
        <v>19</v>
      </c>
      <c r="G9" s="8" t="s">
        <v>343</v>
      </c>
      <c r="H9" s="8" t="s">
        <v>149</v>
      </c>
      <c r="I9" s="7" t="s">
        <v>348</v>
      </c>
      <c r="J9" s="7"/>
      <c r="K9" s="6" t="str">
        <f>"42,5"</f>
        <v>42,5</v>
      </c>
      <c r="L9" s="8" t="str">
        <f>"47,2855"</f>
        <v>47,2855</v>
      </c>
      <c r="M9" s="6" t="s">
        <v>21</v>
      </c>
    </row>
    <row r="11" spans="1:12" ht="15">
      <c r="A11" s="81" t="s">
        <v>157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3" ht="12.75">
      <c r="A12" s="17" t="s">
        <v>247</v>
      </c>
      <c r="B12" s="17" t="s">
        <v>248</v>
      </c>
      <c r="C12" s="17" t="s">
        <v>249</v>
      </c>
      <c r="D12" s="17" t="str">
        <f>"1,0780"</f>
        <v>1,0780</v>
      </c>
      <c r="E12" s="17" t="s">
        <v>38</v>
      </c>
      <c r="F12" s="17" t="s">
        <v>63</v>
      </c>
      <c r="G12" s="19" t="s">
        <v>243</v>
      </c>
      <c r="H12" s="19" t="s">
        <v>156</v>
      </c>
      <c r="I12" s="18"/>
      <c r="J12" s="18"/>
      <c r="K12" s="17" t="str">
        <f>"72,5"</f>
        <v>72,5</v>
      </c>
      <c r="L12" s="19" t="str">
        <f>"78,1550"</f>
        <v>78,1550</v>
      </c>
      <c r="M12" s="17" t="s">
        <v>21</v>
      </c>
    </row>
    <row r="13" spans="1:13" ht="12.75">
      <c r="A13" s="23" t="s">
        <v>350</v>
      </c>
      <c r="B13" s="23" t="s">
        <v>351</v>
      </c>
      <c r="C13" s="23" t="s">
        <v>352</v>
      </c>
      <c r="D13" s="23" t="str">
        <f>"0,9078"</f>
        <v>0,9078</v>
      </c>
      <c r="E13" s="23" t="s">
        <v>38</v>
      </c>
      <c r="F13" s="23" t="s">
        <v>19</v>
      </c>
      <c r="G13" s="25" t="s">
        <v>256</v>
      </c>
      <c r="H13" s="24" t="s">
        <v>353</v>
      </c>
      <c r="I13" s="24" t="s">
        <v>353</v>
      </c>
      <c r="J13" s="24"/>
      <c r="K13" s="23" t="str">
        <f>"50,0"</f>
        <v>50,0</v>
      </c>
      <c r="L13" s="25" t="str">
        <f>"45,3900"</f>
        <v>45,3900</v>
      </c>
      <c r="M13" s="23" t="s">
        <v>21</v>
      </c>
    </row>
    <row r="14" spans="1:13" ht="12.75">
      <c r="A14" s="20" t="s">
        <v>355</v>
      </c>
      <c r="B14" s="20" t="s">
        <v>356</v>
      </c>
      <c r="C14" s="20" t="s">
        <v>357</v>
      </c>
      <c r="D14" s="20" t="str">
        <f>"1,0514"</f>
        <v>1,0514</v>
      </c>
      <c r="E14" s="20" t="s">
        <v>38</v>
      </c>
      <c r="F14" s="20" t="s">
        <v>19</v>
      </c>
      <c r="G14" s="22" t="s">
        <v>255</v>
      </c>
      <c r="H14" s="22" t="s">
        <v>256</v>
      </c>
      <c r="I14" s="21" t="s">
        <v>353</v>
      </c>
      <c r="J14" s="21"/>
      <c r="K14" s="20" t="str">
        <f>"50,0"</f>
        <v>50,0</v>
      </c>
      <c r="L14" s="22" t="str">
        <f>"52,5700"</f>
        <v>52,5700</v>
      </c>
      <c r="M14" s="20" t="s">
        <v>21</v>
      </c>
    </row>
    <row r="16" spans="1:12" ht="15">
      <c r="A16" s="81" t="s">
        <v>358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3" ht="12.75">
      <c r="A17" s="6" t="s">
        <v>360</v>
      </c>
      <c r="B17" s="6" t="s">
        <v>361</v>
      </c>
      <c r="C17" s="6" t="s">
        <v>362</v>
      </c>
      <c r="D17" s="6" t="str">
        <f>"1,0065"</f>
        <v>1,0065</v>
      </c>
      <c r="E17" s="6" t="s">
        <v>38</v>
      </c>
      <c r="F17" s="6" t="s">
        <v>19</v>
      </c>
      <c r="G17" s="8" t="s">
        <v>20</v>
      </c>
      <c r="H17" s="7" t="s">
        <v>176</v>
      </c>
      <c r="I17" s="7" t="s">
        <v>176</v>
      </c>
      <c r="J17" s="7"/>
      <c r="K17" s="6" t="str">
        <f>"100,0"</f>
        <v>100,0</v>
      </c>
      <c r="L17" s="8" t="str">
        <f>"100,6500"</f>
        <v>100,6500</v>
      </c>
      <c r="M17" s="6" t="s">
        <v>21</v>
      </c>
    </row>
    <row r="19" spans="1:12" ht="15">
      <c r="A19" s="81" t="s">
        <v>250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3" ht="12.75">
      <c r="A20" s="6" t="s">
        <v>364</v>
      </c>
      <c r="B20" s="6" t="s">
        <v>365</v>
      </c>
      <c r="C20" s="6" t="s">
        <v>254</v>
      </c>
      <c r="D20" s="6" t="str">
        <f>"0,9277"</f>
        <v>0,9277</v>
      </c>
      <c r="E20" s="6" t="s">
        <v>217</v>
      </c>
      <c r="F20" s="6" t="s">
        <v>19</v>
      </c>
      <c r="G20" s="8" t="s">
        <v>366</v>
      </c>
      <c r="H20" s="8" t="s">
        <v>155</v>
      </c>
      <c r="I20" s="7" t="s">
        <v>244</v>
      </c>
      <c r="J20" s="7"/>
      <c r="K20" s="6" t="str">
        <f>"65,0"</f>
        <v>65,0</v>
      </c>
      <c r="L20" s="8" t="str">
        <f>"60,3037"</f>
        <v>60,3037</v>
      </c>
      <c r="M20" s="6" t="s">
        <v>21</v>
      </c>
    </row>
    <row r="22" spans="1:12" ht="15">
      <c r="A22" s="81" t="s">
        <v>250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3" ht="12.75">
      <c r="A23" s="17" t="s">
        <v>368</v>
      </c>
      <c r="B23" s="17" t="s">
        <v>369</v>
      </c>
      <c r="C23" s="17" t="s">
        <v>370</v>
      </c>
      <c r="D23" s="17" t="str">
        <f>"0,7671"</f>
        <v>0,7671</v>
      </c>
      <c r="E23" s="17" t="s">
        <v>38</v>
      </c>
      <c r="F23" s="17" t="s">
        <v>19</v>
      </c>
      <c r="G23" s="19" t="s">
        <v>258</v>
      </c>
      <c r="H23" s="18" t="s">
        <v>245</v>
      </c>
      <c r="I23" s="18" t="s">
        <v>245</v>
      </c>
      <c r="J23" s="18"/>
      <c r="K23" s="17" t="str">
        <f>"80,0"</f>
        <v>80,0</v>
      </c>
      <c r="L23" s="19" t="str">
        <f>"61,3640"</f>
        <v>61,3640</v>
      </c>
      <c r="M23" s="17" t="s">
        <v>371</v>
      </c>
    </row>
    <row r="24" spans="1:13" ht="12.75">
      <c r="A24" s="20" t="s">
        <v>372</v>
      </c>
      <c r="B24" s="20" t="s">
        <v>373</v>
      </c>
      <c r="C24" s="20" t="s">
        <v>374</v>
      </c>
      <c r="D24" s="20" t="str">
        <f>"0,7551"</f>
        <v>0,7551</v>
      </c>
      <c r="E24" s="20" t="s">
        <v>217</v>
      </c>
      <c r="F24" s="20" t="s">
        <v>19</v>
      </c>
      <c r="G24" s="21" t="s">
        <v>20</v>
      </c>
      <c r="H24" s="21" t="s">
        <v>20</v>
      </c>
      <c r="I24" s="21" t="s">
        <v>331</v>
      </c>
      <c r="J24" s="21"/>
      <c r="K24" s="20" t="str">
        <f>"0,0"</f>
        <v>0,0</v>
      </c>
      <c r="L24" s="22" t="str">
        <f>"0,0000"</f>
        <v>0,0000</v>
      </c>
      <c r="M24" s="20" t="s">
        <v>21</v>
      </c>
    </row>
    <row r="26" spans="1:12" ht="15">
      <c r="A26" s="81" t="s">
        <v>57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3" ht="12.75">
      <c r="A27" s="17" t="s">
        <v>376</v>
      </c>
      <c r="B27" s="17" t="s">
        <v>377</v>
      </c>
      <c r="C27" s="17" t="s">
        <v>378</v>
      </c>
      <c r="D27" s="17" t="str">
        <f>"0,7019"</f>
        <v>0,7019</v>
      </c>
      <c r="E27" s="17" t="s">
        <v>379</v>
      </c>
      <c r="F27" s="17" t="s">
        <v>19</v>
      </c>
      <c r="G27" s="19" t="s">
        <v>64</v>
      </c>
      <c r="H27" s="19" t="s">
        <v>90</v>
      </c>
      <c r="I27" s="19" t="s">
        <v>49</v>
      </c>
      <c r="J27" s="18"/>
      <c r="K27" s="17" t="str">
        <f>"125,0"</f>
        <v>125,0</v>
      </c>
      <c r="L27" s="19" t="str">
        <f>"87,7375"</f>
        <v>87,7375</v>
      </c>
      <c r="M27" s="17" t="s">
        <v>380</v>
      </c>
    </row>
    <row r="28" spans="1:13" ht="12.75">
      <c r="A28" s="23" t="s">
        <v>382</v>
      </c>
      <c r="B28" s="23" t="s">
        <v>383</v>
      </c>
      <c r="C28" s="23" t="s">
        <v>384</v>
      </c>
      <c r="D28" s="23" t="str">
        <f>"0,6962"</f>
        <v>0,6962</v>
      </c>
      <c r="E28" s="23" t="s">
        <v>38</v>
      </c>
      <c r="F28" s="23" t="s">
        <v>19</v>
      </c>
      <c r="G28" s="25" t="s">
        <v>49</v>
      </c>
      <c r="H28" s="25" t="s">
        <v>114</v>
      </c>
      <c r="I28" s="25" t="s">
        <v>91</v>
      </c>
      <c r="J28" s="24"/>
      <c r="K28" s="23" t="str">
        <f>"140,0"</f>
        <v>140,0</v>
      </c>
      <c r="L28" s="25" t="str">
        <f>"97,4610"</f>
        <v>97,4610</v>
      </c>
      <c r="M28" s="23" t="s">
        <v>21</v>
      </c>
    </row>
    <row r="29" spans="1:13" ht="12.75">
      <c r="A29" s="23" t="s">
        <v>386</v>
      </c>
      <c r="B29" s="23" t="s">
        <v>387</v>
      </c>
      <c r="C29" s="23" t="s">
        <v>388</v>
      </c>
      <c r="D29" s="23" t="str">
        <f>"0,6927"</f>
        <v>0,6927</v>
      </c>
      <c r="E29" s="23" t="s">
        <v>379</v>
      </c>
      <c r="F29" s="23" t="s">
        <v>19</v>
      </c>
      <c r="G29" s="25" t="s">
        <v>75</v>
      </c>
      <c r="H29" s="25" t="s">
        <v>114</v>
      </c>
      <c r="I29" s="25" t="s">
        <v>91</v>
      </c>
      <c r="J29" s="24"/>
      <c r="K29" s="23" t="str">
        <f>"140,0"</f>
        <v>140,0</v>
      </c>
      <c r="L29" s="25" t="str">
        <f>"96,9710"</f>
        <v>96,9710</v>
      </c>
      <c r="M29" s="23" t="s">
        <v>389</v>
      </c>
    </row>
    <row r="30" spans="1:13" ht="12.75">
      <c r="A30" s="23" t="s">
        <v>391</v>
      </c>
      <c r="B30" s="23" t="s">
        <v>392</v>
      </c>
      <c r="C30" s="23" t="s">
        <v>393</v>
      </c>
      <c r="D30" s="23" t="str">
        <f>"0,7071"</f>
        <v>0,7071</v>
      </c>
      <c r="E30" s="23" t="s">
        <v>38</v>
      </c>
      <c r="F30" s="23" t="s">
        <v>19</v>
      </c>
      <c r="G30" s="24" t="s">
        <v>394</v>
      </c>
      <c r="H30" s="25" t="s">
        <v>394</v>
      </c>
      <c r="I30" s="24"/>
      <c r="J30" s="24"/>
      <c r="K30" s="23" t="str">
        <f>"117,5"</f>
        <v>117,5</v>
      </c>
      <c r="L30" s="25" t="str">
        <f>"83,0842"</f>
        <v>83,0842</v>
      </c>
      <c r="M30" s="23" t="s">
        <v>21</v>
      </c>
    </row>
    <row r="31" spans="1:13" ht="12.75">
      <c r="A31" s="23" t="s">
        <v>396</v>
      </c>
      <c r="B31" s="23" t="s">
        <v>397</v>
      </c>
      <c r="C31" s="23" t="s">
        <v>398</v>
      </c>
      <c r="D31" s="23" t="str">
        <f>"0,6955"</f>
        <v>0,6955</v>
      </c>
      <c r="E31" s="23" t="s">
        <v>38</v>
      </c>
      <c r="F31" s="23" t="s">
        <v>19</v>
      </c>
      <c r="G31" s="24" t="s">
        <v>52</v>
      </c>
      <c r="H31" s="25" t="s">
        <v>52</v>
      </c>
      <c r="I31" s="25" t="s">
        <v>394</v>
      </c>
      <c r="J31" s="24"/>
      <c r="K31" s="23" t="str">
        <f>"117,5"</f>
        <v>117,5</v>
      </c>
      <c r="L31" s="25" t="str">
        <f>"81,7154"</f>
        <v>81,7154</v>
      </c>
      <c r="M31" s="23" t="s">
        <v>399</v>
      </c>
    </row>
    <row r="32" spans="1:13" ht="12.75">
      <c r="A32" s="23" t="s">
        <v>401</v>
      </c>
      <c r="B32" s="23" t="s">
        <v>402</v>
      </c>
      <c r="C32" s="23" t="s">
        <v>403</v>
      </c>
      <c r="D32" s="23" t="str">
        <f>"0,6913"</f>
        <v>0,6913</v>
      </c>
      <c r="E32" s="23" t="s">
        <v>379</v>
      </c>
      <c r="F32" s="23" t="s">
        <v>19</v>
      </c>
      <c r="G32" s="25" t="s">
        <v>176</v>
      </c>
      <c r="H32" s="25" t="s">
        <v>404</v>
      </c>
      <c r="I32" s="24" t="s">
        <v>394</v>
      </c>
      <c r="J32" s="24"/>
      <c r="K32" s="23" t="str">
        <f>"112,5"</f>
        <v>112,5</v>
      </c>
      <c r="L32" s="25" t="str">
        <f>"77,7656"</f>
        <v>77,7656</v>
      </c>
      <c r="M32" s="23" t="s">
        <v>389</v>
      </c>
    </row>
    <row r="33" spans="1:13" ht="12.75">
      <c r="A33" s="23" t="s">
        <v>406</v>
      </c>
      <c r="B33" s="23" t="s">
        <v>407</v>
      </c>
      <c r="C33" s="23" t="s">
        <v>408</v>
      </c>
      <c r="D33" s="23" t="str">
        <f>"0,6885"</f>
        <v>0,6885</v>
      </c>
      <c r="E33" s="23" t="s">
        <v>217</v>
      </c>
      <c r="F33" s="23" t="s">
        <v>19</v>
      </c>
      <c r="G33" s="25" t="s">
        <v>54</v>
      </c>
      <c r="H33" s="24" t="s">
        <v>115</v>
      </c>
      <c r="I33" s="24" t="s">
        <v>115</v>
      </c>
      <c r="J33" s="24"/>
      <c r="K33" s="23" t="str">
        <f>"82,5"</f>
        <v>82,5</v>
      </c>
      <c r="L33" s="25" t="str">
        <f>"56,8054"</f>
        <v>56,8054</v>
      </c>
      <c r="M33" s="23" t="s">
        <v>21</v>
      </c>
    </row>
    <row r="34" spans="1:13" ht="12.75">
      <c r="A34" s="20" t="s">
        <v>410</v>
      </c>
      <c r="B34" s="20" t="s">
        <v>411</v>
      </c>
      <c r="C34" s="20" t="s">
        <v>412</v>
      </c>
      <c r="D34" s="20" t="str">
        <f>"0,7012"</f>
        <v>0,7012</v>
      </c>
      <c r="E34" s="20" t="s">
        <v>38</v>
      </c>
      <c r="F34" s="20" t="s">
        <v>19</v>
      </c>
      <c r="G34" s="22" t="s">
        <v>176</v>
      </c>
      <c r="H34" s="21" t="s">
        <v>394</v>
      </c>
      <c r="I34" s="21" t="s">
        <v>394</v>
      </c>
      <c r="J34" s="21"/>
      <c r="K34" s="20" t="str">
        <f>"105,0"</f>
        <v>105,0</v>
      </c>
      <c r="L34" s="22" t="str">
        <f>"75,0932"</f>
        <v>75,0932</v>
      </c>
      <c r="M34" s="20" t="s">
        <v>21</v>
      </c>
    </row>
    <row r="36" spans="1:12" ht="15">
      <c r="A36" s="81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3" ht="12.75">
      <c r="A37" s="17" t="s">
        <v>414</v>
      </c>
      <c r="B37" s="17" t="s">
        <v>415</v>
      </c>
      <c r="C37" s="17" t="s">
        <v>416</v>
      </c>
      <c r="D37" s="17" t="str">
        <f>"0,6535"</f>
        <v>0,6535</v>
      </c>
      <c r="E37" s="17" t="s">
        <v>38</v>
      </c>
      <c r="F37" s="17" t="s">
        <v>19</v>
      </c>
      <c r="G37" s="19" t="s">
        <v>417</v>
      </c>
      <c r="H37" s="19" t="s">
        <v>75</v>
      </c>
      <c r="I37" s="19" t="s">
        <v>418</v>
      </c>
      <c r="J37" s="18"/>
      <c r="K37" s="17" t="str">
        <f>"132,5"</f>
        <v>132,5</v>
      </c>
      <c r="L37" s="19" t="str">
        <f>"86,5821"</f>
        <v>86,5821</v>
      </c>
      <c r="M37" s="17" t="s">
        <v>21</v>
      </c>
    </row>
    <row r="38" spans="1:13" ht="12.75">
      <c r="A38" s="23" t="s">
        <v>420</v>
      </c>
      <c r="B38" s="23" t="s">
        <v>421</v>
      </c>
      <c r="C38" s="23" t="s">
        <v>422</v>
      </c>
      <c r="D38" s="23" t="str">
        <f>"0,6497"</f>
        <v>0,6497</v>
      </c>
      <c r="E38" s="23" t="s">
        <v>217</v>
      </c>
      <c r="F38" s="23" t="s">
        <v>19</v>
      </c>
      <c r="G38" s="25" t="s">
        <v>125</v>
      </c>
      <c r="H38" s="24" t="s">
        <v>83</v>
      </c>
      <c r="I38" s="24" t="s">
        <v>83</v>
      </c>
      <c r="J38" s="24"/>
      <c r="K38" s="23" t="str">
        <f>"155,0"</f>
        <v>155,0</v>
      </c>
      <c r="L38" s="25" t="str">
        <f>"100,7112"</f>
        <v>100,7112</v>
      </c>
      <c r="M38" s="23" t="s">
        <v>21</v>
      </c>
    </row>
    <row r="39" spans="1:13" ht="12.75">
      <c r="A39" s="23" t="s">
        <v>424</v>
      </c>
      <c r="B39" s="23" t="s">
        <v>425</v>
      </c>
      <c r="C39" s="23" t="s">
        <v>81</v>
      </c>
      <c r="D39" s="23" t="str">
        <f>"0,6513"</f>
        <v>0,6513</v>
      </c>
      <c r="E39" s="23" t="s">
        <v>38</v>
      </c>
      <c r="F39" s="23" t="s">
        <v>19</v>
      </c>
      <c r="G39" s="25" t="s">
        <v>417</v>
      </c>
      <c r="H39" s="24" t="s">
        <v>114</v>
      </c>
      <c r="I39" s="24" t="s">
        <v>114</v>
      </c>
      <c r="J39" s="24"/>
      <c r="K39" s="23" t="str">
        <f>"127,5"</f>
        <v>127,5</v>
      </c>
      <c r="L39" s="25" t="str">
        <f>"83,0408"</f>
        <v>83,0408</v>
      </c>
      <c r="M39" s="23" t="s">
        <v>21</v>
      </c>
    </row>
    <row r="40" spans="1:13" ht="12.75">
      <c r="A40" s="23" t="s">
        <v>427</v>
      </c>
      <c r="B40" s="23" t="s">
        <v>428</v>
      </c>
      <c r="C40" s="23" t="s">
        <v>429</v>
      </c>
      <c r="D40" s="23" t="str">
        <f>"0,6730"</f>
        <v>0,6730</v>
      </c>
      <c r="E40" s="23" t="s">
        <v>38</v>
      </c>
      <c r="F40" s="23" t="s">
        <v>19</v>
      </c>
      <c r="G40" s="25" t="s">
        <v>20</v>
      </c>
      <c r="H40" s="25" t="s">
        <v>52</v>
      </c>
      <c r="I40" s="25" t="s">
        <v>404</v>
      </c>
      <c r="J40" s="24"/>
      <c r="K40" s="23" t="str">
        <f>"112,5"</f>
        <v>112,5</v>
      </c>
      <c r="L40" s="25" t="str">
        <f>"75,7181"</f>
        <v>75,7181</v>
      </c>
      <c r="M40" s="23" t="s">
        <v>21</v>
      </c>
    </row>
    <row r="41" spans="1:13" ht="12.75">
      <c r="A41" s="20" t="s">
        <v>72</v>
      </c>
      <c r="B41" s="20" t="s">
        <v>430</v>
      </c>
      <c r="C41" s="20" t="s">
        <v>74</v>
      </c>
      <c r="D41" s="20" t="str">
        <f>"0,6567"</f>
        <v>0,6567</v>
      </c>
      <c r="E41" s="20" t="s">
        <v>18</v>
      </c>
      <c r="F41" s="20" t="s">
        <v>19</v>
      </c>
      <c r="G41" s="22" t="s">
        <v>64</v>
      </c>
      <c r="H41" s="21" t="s">
        <v>431</v>
      </c>
      <c r="I41" s="21" t="s">
        <v>431</v>
      </c>
      <c r="J41" s="21"/>
      <c r="K41" s="20" t="str">
        <f>"115,0"</f>
        <v>115,0</v>
      </c>
      <c r="L41" s="22" t="str">
        <f>"76,2757"</f>
        <v>76,2757</v>
      </c>
      <c r="M41" s="20" t="s">
        <v>21</v>
      </c>
    </row>
    <row r="43" spans="1:12" ht="15">
      <c r="A43" s="81" t="s">
        <v>177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3" ht="12.75">
      <c r="A44" s="17" t="s">
        <v>433</v>
      </c>
      <c r="B44" s="17" t="s">
        <v>434</v>
      </c>
      <c r="C44" s="17" t="s">
        <v>435</v>
      </c>
      <c r="D44" s="17" t="str">
        <f>"0,6406"</f>
        <v>0,6406</v>
      </c>
      <c r="E44" s="17" t="s">
        <v>38</v>
      </c>
      <c r="F44" s="17" t="s">
        <v>19</v>
      </c>
      <c r="G44" s="19" t="s">
        <v>70</v>
      </c>
      <c r="H44" s="18" t="s">
        <v>436</v>
      </c>
      <c r="I44" s="19" t="s">
        <v>436</v>
      </c>
      <c r="J44" s="18"/>
      <c r="K44" s="17" t="str">
        <f>"142,5"</f>
        <v>142,5</v>
      </c>
      <c r="L44" s="19" t="str">
        <f>"91,2926"</f>
        <v>91,2926</v>
      </c>
      <c r="M44" s="17" t="s">
        <v>437</v>
      </c>
    </row>
    <row r="45" spans="1:13" ht="12.75">
      <c r="A45" s="23" t="s">
        <v>439</v>
      </c>
      <c r="B45" s="23" t="s">
        <v>440</v>
      </c>
      <c r="C45" s="23" t="s">
        <v>441</v>
      </c>
      <c r="D45" s="23" t="str">
        <f>"0,6213"</f>
        <v>0,6213</v>
      </c>
      <c r="E45" s="23" t="s">
        <v>379</v>
      </c>
      <c r="F45" s="23" t="s">
        <v>19</v>
      </c>
      <c r="G45" s="25" t="s">
        <v>417</v>
      </c>
      <c r="H45" s="25" t="s">
        <v>418</v>
      </c>
      <c r="I45" s="25" t="s">
        <v>114</v>
      </c>
      <c r="J45" s="24"/>
      <c r="K45" s="23" t="str">
        <f>"135,0"</f>
        <v>135,0</v>
      </c>
      <c r="L45" s="25" t="str">
        <f>"83,8822"</f>
        <v>83,8822</v>
      </c>
      <c r="M45" s="23" t="s">
        <v>380</v>
      </c>
    </row>
    <row r="46" spans="1:13" ht="12.75">
      <c r="A46" s="23" t="s">
        <v>443</v>
      </c>
      <c r="B46" s="23" t="s">
        <v>444</v>
      </c>
      <c r="C46" s="23" t="s">
        <v>445</v>
      </c>
      <c r="D46" s="23" t="str">
        <f>"0,6331"</f>
        <v>0,6331</v>
      </c>
      <c r="E46" s="23" t="s">
        <v>38</v>
      </c>
      <c r="F46" s="23" t="s">
        <v>113</v>
      </c>
      <c r="G46" s="25" t="s">
        <v>331</v>
      </c>
      <c r="H46" s="25" t="s">
        <v>90</v>
      </c>
      <c r="I46" s="24" t="s">
        <v>418</v>
      </c>
      <c r="J46" s="24"/>
      <c r="K46" s="23" t="str">
        <f>"120,0"</f>
        <v>120,0</v>
      </c>
      <c r="L46" s="25" t="str">
        <f>"75,9720"</f>
        <v>75,9720</v>
      </c>
      <c r="M46" s="23" t="s">
        <v>21</v>
      </c>
    </row>
    <row r="47" spans="1:13" ht="12.75">
      <c r="A47" s="20" t="s">
        <v>447</v>
      </c>
      <c r="B47" s="20" t="s">
        <v>448</v>
      </c>
      <c r="C47" s="20" t="s">
        <v>449</v>
      </c>
      <c r="D47" s="20" t="str">
        <f>"0,6165"</f>
        <v>0,6165</v>
      </c>
      <c r="E47" s="20" t="s">
        <v>38</v>
      </c>
      <c r="F47" s="20" t="s">
        <v>19</v>
      </c>
      <c r="G47" s="22" t="s">
        <v>269</v>
      </c>
      <c r="H47" s="22" t="s">
        <v>138</v>
      </c>
      <c r="I47" s="22" t="s">
        <v>332</v>
      </c>
      <c r="J47" s="21"/>
      <c r="K47" s="20" t="str">
        <f>"185,0"</f>
        <v>185,0</v>
      </c>
      <c r="L47" s="22" t="str">
        <f>"114,0433"</f>
        <v>114,0433</v>
      </c>
      <c r="M47" s="20" t="s">
        <v>21</v>
      </c>
    </row>
    <row r="49" spans="1:12" ht="15">
      <c r="A49" s="81" t="s">
        <v>85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1:13" ht="12.75">
      <c r="A50" s="17" t="s">
        <v>451</v>
      </c>
      <c r="B50" s="17" t="s">
        <v>452</v>
      </c>
      <c r="C50" s="17" t="s">
        <v>453</v>
      </c>
      <c r="D50" s="17" t="str">
        <f>"0,5955"</f>
        <v>0,5955</v>
      </c>
      <c r="E50" s="17" t="s">
        <v>27</v>
      </c>
      <c r="F50" s="17" t="s">
        <v>28</v>
      </c>
      <c r="G50" s="19" t="s">
        <v>83</v>
      </c>
      <c r="H50" s="19" t="s">
        <v>137</v>
      </c>
      <c r="I50" s="19" t="s">
        <v>97</v>
      </c>
      <c r="J50" s="18"/>
      <c r="K50" s="17" t="str">
        <f>"180,0"</f>
        <v>180,0</v>
      </c>
      <c r="L50" s="19" t="str">
        <f>"107,1900"</f>
        <v>107,1900</v>
      </c>
      <c r="M50" s="17" t="s">
        <v>454</v>
      </c>
    </row>
    <row r="51" spans="1:13" ht="12.75">
      <c r="A51" s="23" t="s">
        <v>456</v>
      </c>
      <c r="B51" s="23" t="s">
        <v>457</v>
      </c>
      <c r="C51" s="23" t="s">
        <v>458</v>
      </c>
      <c r="D51" s="23" t="str">
        <f>"0,5885"</f>
        <v>0,5885</v>
      </c>
      <c r="E51" s="23" t="s">
        <v>38</v>
      </c>
      <c r="F51" s="23" t="s">
        <v>19</v>
      </c>
      <c r="G51" s="24" t="s">
        <v>91</v>
      </c>
      <c r="H51" s="25" t="s">
        <v>139</v>
      </c>
      <c r="I51" s="25" t="s">
        <v>76</v>
      </c>
      <c r="J51" s="24"/>
      <c r="K51" s="23" t="str">
        <f>"150,0"</f>
        <v>150,0</v>
      </c>
      <c r="L51" s="25" t="str">
        <f>"88,2825"</f>
        <v>88,2825</v>
      </c>
      <c r="M51" s="23" t="s">
        <v>21</v>
      </c>
    </row>
    <row r="52" spans="1:13" ht="12.75">
      <c r="A52" s="23" t="s">
        <v>460</v>
      </c>
      <c r="B52" s="23" t="s">
        <v>461</v>
      </c>
      <c r="C52" s="23" t="s">
        <v>462</v>
      </c>
      <c r="D52" s="23" t="str">
        <f>"0,6007"</f>
        <v>0,6007</v>
      </c>
      <c r="E52" s="23" t="s">
        <v>38</v>
      </c>
      <c r="F52" s="23" t="s">
        <v>19</v>
      </c>
      <c r="G52" s="24" t="s">
        <v>418</v>
      </c>
      <c r="H52" s="24" t="s">
        <v>418</v>
      </c>
      <c r="I52" s="25" t="s">
        <v>418</v>
      </c>
      <c r="J52" s="24"/>
      <c r="K52" s="23" t="str">
        <f>"132,5"</f>
        <v>132,5</v>
      </c>
      <c r="L52" s="25" t="str">
        <f>"79,5861"</f>
        <v>79,5861</v>
      </c>
      <c r="M52" s="23" t="s">
        <v>170</v>
      </c>
    </row>
    <row r="53" spans="1:13" ht="12.75">
      <c r="A53" s="23" t="s">
        <v>464</v>
      </c>
      <c r="B53" s="23" t="s">
        <v>465</v>
      </c>
      <c r="C53" s="23" t="s">
        <v>466</v>
      </c>
      <c r="D53" s="23" t="str">
        <f>"0,5878"</f>
        <v>0,5878</v>
      </c>
      <c r="E53" s="23" t="s">
        <v>38</v>
      </c>
      <c r="F53" s="23" t="s">
        <v>19</v>
      </c>
      <c r="G53" s="25" t="s">
        <v>91</v>
      </c>
      <c r="H53" s="24" t="s">
        <v>467</v>
      </c>
      <c r="I53" s="24" t="s">
        <v>467</v>
      </c>
      <c r="J53" s="24"/>
      <c r="K53" s="23" t="str">
        <f>"140,0"</f>
        <v>140,0</v>
      </c>
      <c r="L53" s="25" t="str">
        <f>"82,2850"</f>
        <v>82,2850</v>
      </c>
      <c r="M53" s="23" t="s">
        <v>21</v>
      </c>
    </row>
    <row r="54" spans="1:13" ht="12.75">
      <c r="A54" s="20" t="s">
        <v>469</v>
      </c>
      <c r="B54" s="20" t="s">
        <v>470</v>
      </c>
      <c r="C54" s="20" t="s">
        <v>471</v>
      </c>
      <c r="D54" s="20" t="str">
        <f>"0,5932"</f>
        <v>0,5932</v>
      </c>
      <c r="E54" s="20" t="s">
        <v>27</v>
      </c>
      <c r="F54" s="20" t="s">
        <v>28</v>
      </c>
      <c r="G54" s="22" t="s">
        <v>76</v>
      </c>
      <c r="H54" s="22" t="s">
        <v>125</v>
      </c>
      <c r="I54" s="22" t="s">
        <v>83</v>
      </c>
      <c r="J54" s="21"/>
      <c r="K54" s="20" t="str">
        <f>"160,0"</f>
        <v>160,0</v>
      </c>
      <c r="L54" s="22" t="str">
        <f>"118,2504"</f>
        <v>118,2504</v>
      </c>
      <c r="M54" s="20" t="s">
        <v>21</v>
      </c>
    </row>
    <row r="56" spans="1:12" ht="15">
      <c r="A56" s="81" t="s">
        <v>22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1:13" ht="12.75">
      <c r="A57" s="17" t="s">
        <v>473</v>
      </c>
      <c r="B57" s="17" t="s">
        <v>474</v>
      </c>
      <c r="C57" s="17" t="s">
        <v>475</v>
      </c>
      <c r="D57" s="17" t="str">
        <f>"0,5648"</f>
        <v>0,5648</v>
      </c>
      <c r="E57" s="17" t="s">
        <v>217</v>
      </c>
      <c r="F57" s="17" t="s">
        <v>19</v>
      </c>
      <c r="G57" s="19" t="s">
        <v>332</v>
      </c>
      <c r="H57" s="19" t="s">
        <v>279</v>
      </c>
      <c r="I57" s="19" t="s">
        <v>99</v>
      </c>
      <c r="J57" s="18"/>
      <c r="K57" s="17" t="str">
        <f>"200,0"</f>
        <v>200,0</v>
      </c>
      <c r="L57" s="19" t="str">
        <f>"112,9700"</f>
        <v>112,9700</v>
      </c>
      <c r="M57" s="17" t="s">
        <v>21</v>
      </c>
    </row>
    <row r="58" spans="1:13" ht="12.75">
      <c r="A58" s="23" t="s">
        <v>477</v>
      </c>
      <c r="B58" s="23" t="s">
        <v>478</v>
      </c>
      <c r="C58" s="23" t="s">
        <v>479</v>
      </c>
      <c r="D58" s="23" t="str">
        <f>"0,5661"</f>
        <v>0,5661</v>
      </c>
      <c r="E58" s="23" t="s">
        <v>38</v>
      </c>
      <c r="F58" s="23" t="s">
        <v>19</v>
      </c>
      <c r="G58" s="25" t="s">
        <v>97</v>
      </c>
      <c r="H58" s="25" t="s">
        <v>98</v>
      </c>
      <c r="I58" s="25" t="s">
        <v>279</v>
      </c>
      <c r="J58" s="24"/>
      <c r="K58" s="23" t="str">
        <f>"195,0"</f>
        <v>195,0</v>
      </c>
      <c r="L58" s="25" t="str">
        <f>"110,3895"</f>
        <v>110,3895</v>
      </c>
      <c r="M58" s="23" t="s">
        <v>480</v>
      </c>
    </row>
    <row r="59" spans="1:13" ht="12.75">
      <c r="A59" s="20" t="s">
        <v>482</v>
      </c>
      <c r="B59" s="20" t="s">
        <v>483</v>
      </c>
      <c r="C59" s="20" t="s">
        <v>484</v>
      </c>
      <c r="D59" s="20" t="str">
        <f>"0,5638"</f>
        <v>0,5638</v>
      </c>
      <c r="E59" s="20" t="s">
        <v>217</v>
      </c>
      <c r="F59" s="20" t="s">
        <v>19</v>
      </c>
      <c r="G59" s="22" t="s">
        <v>83</v>
      </c>
      <c r="H59" s="22" t="s">
        <v>123</v>
      </c>
      <c r="I59" s="21" t="s">
        <v>137</v>
      </c>
      <c r="J59" s="21"/>
      <c r="K59" s="20" t="str">
        <f>"165,0"</f>
        <v>165,0</v>
      </c>
      <c r="L59" s="22" t="str">
        <f>"102,0506"</f>
        <v>102,0506</v>
      </c>
      <c r="M59" s="20" t="s">
        <v>21</v>
      </c>
    </row>
    <row r="61" spans="1:12" ht="15">
      <c r="A61" s="81" t="s">
        <v>33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3" ht="12.75">
      <c r="A62" s="17" t="s">
        <v>486</v>
      </c>
      <c r="B62" s="17" t="s">
        <v>487</v>
      </c>
      <c r="C62" s="17" t="s">
        <v>488</v>
      </c>
      <c r="D62" s="17" t="str">
        <f>"0,5459"</f>
        <v>0,5459</v>
      </c>
      <c r="E62" s="17" t="s">
        <v>217</v>
      </c>
      <c r="F62" s="17" t="s">
        <v>489</v>
      </c>
      <c r="G62" s="19" t="s">
        <v>123</v>
      </c>
      <c r="H62" s="19" t="s">
        <v>77</v>
      </c>
      <c r="I62" s="19" t="s">
        <v>197</v>
      </c>
      <c r="J62" s="18"/>
      <c r="K62" s="17" t="str">
        <f>"177,5"</f>
        <v>177,5</v>
      </c>
      <c r="L62" s="19" t="str">
        <f>"96,8972"</f>
        <v>96,8972</v>
      </c>
      <c r="M62" s="17" t="s">
        <v>21</v>
      </c>
    </row>
    <row r="63" spans="1:13" ht="12.75">
      <c r="A63" s="20" t="s">
        <v>490</v>
      </c>
      <c r="B63" s="20" t="s">
        <v>491</v>
      </c>
      <c r="C63" s="20" t="s">
        <v>492</v>
      </c>
      <c r="D63" s="20" t="str">
        <f>"0,5583"</f>
        <v>0,5583</v>
      </c>
      <c r="E63" s="20" t="s">
        <v>38</v>
      </c>
      <c r="F63" s="20" t="s">
        <v>19</v>
      </c>
      <c r="G63" s="21" t="s">
        <v>138</v>
      </c>
      <c r="H63" s="21" t="s">
        <v>138</v>
      </c>
      <c r="I63" s="21" t="s">
        <v>138</v>
      </c>
      <c r="J63" s="21"/>
      <c r="K63" s="20" t="str">
        <f>"0,0"</f>
        <v>0,0</v>
      </c>
      <c r="L63" s="22" t="str">
        <f>"0,0000"</f>
        <v>0,0000</v>
      </c>
      <c r="M63" s="20" t="s">
        <v>21</v>
      </c>
    </row>
    <row r="65" spans="1:12" ht="15">
      <c r="A65" s="81" t="s">
        <v>212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</row>
    <row r="66" spans="1:13" ht="12.75">
      <c r="A66" s="6" t="s">
        <v>494</v>
      </c>
      <c r="B66" s="6" t="s">
        <v>495</v>
      </c>
      <c r="C66" s="6" t="s">
        <v>496</v>
      </c>
      <c r="D66" s="6" t="str">
        <f>"0,5384"</f>
        <v>0,5384</v>
      </c>
      <c r="E66" s="6" t="s">
        <v>38</v>
      </c>
      <c r="F66" s="6" t="s">
        <v>497</v>
      </c>
      <c r="G66" s="8" t="s">
        <v>84</v>
      </c>
      <c r="H66" s="7" t="s">
        <v>498</v>
      </c>
      <c r="I66" s="7" t="s">
        <v>498</v>
      </c>
      <c r="J66" s="7"/>
      <c r="K66" s="6" t="str">
        <f>"182,5"</f>
        <v>182,5</v>
      </c>
      <c r="L66" s="8" t="str">
        <f>"114,4642"</f>
        <v>114,4642</v>
      </c>
      <c r="M66" s="6" t="s">
        <v>21</v>
      </c>
    </row>
    <row r="68" ht="15">
      <c r="E68" s="9" t="s">
        <v>643</v>
      </c>
    </row>
    <row r="69" ht="15">
      <c r="E69" s="9" t="s">
        <v>646</v>
      </c>
    </row>
    <row r="70" ht="15">
      <c r="E70" s="9" t="s">
        <v>644</v>
      </c>
    </row>
    <row r="71" ht="15">
      <c r="E71" s="9" t="s">
        <v>645</v>
      </c>
    </row>
    <row r="72" ht="15">
      <c r="E72" s="9" t="s">
        <v>648</v>
      </c>
    </row>
    <row r="73" ht="15">
      <c r="E73" s="9" t="s">
        <v>647</v>
      </c>
    </row>
    <row r="74" ht="15">
      <c r="E74" s="9"/>
    </row>
    <row r="76" spans="1:2" ht="18">
      <c r="A76" s="10" t="s">
        <v>40</v>
      </c>
      <c r="B76" s="10"/>
    </row>
    <row r="77" spans="1:2" ht="15">
      <c r="A77" s="11" t="s">
        <v>100</v>
      </c>
      <c r="B77" s="11"/>
    </row>
    <row r="78" spans="1:2" ht="14.25">
      <c r="A78" s="13"/>
      <c r="B78" s="14" t="s">
        <v>305</v>
      </c>
    </row>
    <row r="79" spans="1:5" ht="15">
      <c r="A79" s="15" t="s">
        <v>43</v>
      </c>
      <c r="B79" s="15" t="s">
        <v>44</v>
      </c>
      <c r="C79" s="15" t="s">
        <v>45</v>
      </c>
      <c r="D79" s="15" t="s">
        <v>46</v>
      </c>
      <c r="E79" s="15" t="s">
        <v>47</v>
      </c>
    </row>
    <row r="80" spans="1:5" ht="12.75">
      <c r="A80" s="12" t="s">
        <v>246</v>
      </c>
      <c r="B80" s="5" t="s">
        <v>48</v>
      </c>
      <c r="C80" s="5" t="s">
        <v>229</v>
      </c>
      <c r="D80" s="5" t="s">
        <v>156</v>
      </c>
      <c r="E80" s="16" t="s">
        <v>499</v>
      </c>
    </row>
    <row r="81" spans="1:5" ht="12.75">
      <c r="A81" s="12" t="s">
        <v>363</v>
      </c>
      <c r="B81" s="5" t="s">
        <v>48</v>
      </c>
      <c r="C81" s="5" t="s">
        <v>303</v>
      </c>
      <c r="D81" s="5" t="s">
        <v>155</v>
      </c>
      <c r="E81" s="16" t="s">
        <v>500</v>
      </c>
    </row>
    <row r="82" spans="1:5" ht="12.75">
      <c r="A82" s="12" t="s">
        <v>338</v>
      </c>
      <c r="B82" s="5" t="s">
        <v>48</v>
      </c>
      <c r="C82" s="5" t="s">
        <v>501</v>
      </c>
      <c r="D82" s="5" t="s">
        <v>342</v>
      </c>
      <c r="E82" s="16" t="s">
        <v>502</v>
      </c>
    </row>
    <row r="84" spans="1:2" ht="14.25">
      <c r="A84" s="13"/>
      <c r="B84" s="14" t="s">
        <v>51</v>
      </c>
    </row>
    <row r="85" spans="1:5" ht="15">
      <c r="A85" s="15" t="s">
        <v>43</v>
      </c>
      <c r="B85" s="15" t="s">
        <v>44</v>
      </c>
      <c r="C85" s="15" t="s">
        <v>45</v>
      </c>
      <c r="D85" s="15" t="s">
        <v>46</v>
      </c>
      <c r="E85" s="15" t="s">
        <v>47</v>
      </c>
    </row>
    <row r="86" spans="1:5" ht="12.75">
      <c r="A86" s="12" t="s">
        <v>359</v>
      </c>
      <c r="B86" s="5" t="s">
        <v>51</v>
      </c>
      <c r="C86" s="5" t="s">
        <v>366</v>
      </c>
      <c r="D86" s="5" t="s">
        <v>20</v>
      </c>
      <c r="E86" s="16" t="s">
        <v>503</v>
      </c>
    </row>
    <row r="87" spans="1:5" ht="12.75">
      <c r="A87" s="12" t="s">
        <v>354</v>
      </c>
      <c r="B87" s="5" t="s">
        <v>51</v>
      </c>
      <c r="C87" s="5" t="s">
        <v>229</v>
      </c>
      <c r="D87" s="5" t="s">
        <v>256</v>
      </c>
      <c r="E87" s="16" t="s">
        <v>504</v>
      </c>
    </row>
    <row r="88" spans="1:5" ht="12.75">
      <c r="A88" s="12" t="s">
        <v>344</v>
      </c>
      <c r="B88" s="5" t="s">
        <v>51</v>
      </c>
      <c r="C88" s="5" t="s">
        <v>219</v>
      </c>
      <c r="D88" s="5" t="s">
        <v>149</v>
      </c>
      <c r="E88" s="16" t="s">
        <v>505</v>
      </c>
    </row>
    <row r="89" spans="1:5" ht="12.75">
      <c r="A89" s="12" t="s">
        <v>349</v>
      </c>
      <c r="B89" s="5" t="s">
        <v>51</v>
      </c>
      <c r="C89" s="5" t="s">
        <v>229</v>
      </c>
      <c r="D89" s="5" t="s">
        <v>256</v>
      </c>
      <c r="E89" s="16" t="s">
        <v>506</v>
      </c>
    </row>
    <row r="92" spans="1:2" ht="15">
      <c r="A92" s="11" t="s">
        <v>41</v>
      </c>
      <c r="B92" s="11"/>
    </row>
    <row r="93" spans="1:2" ht="14.25">
      <c r="A93" s="13"/>
      <c r="B93" s="14" t="s">
        <v>507</v>
      </c>
    </row>
    <row r="94" spans="1:5" ht="15">
      <c r="A94" s="15" t="s">
        <v>43</v>
      </c>
      <c r="B94" s="15" t="s">
        <v>44</v>
      </c>
      <c r="C94" s="15" t="s">
        <v>45</v>
      </c>
      <c r="D94" s="15" t="s">
        <v>46</v>
      </c>
      <c r="E94" s="15" t="s">
        <v>47</v>
      </c>
    </row>
    <row r="95" spans="1:5" ht="12.75">
      <c r="A95" s="12" t="s">
        <v>413</v>
      </c>
      <c r="B95" s="5" t="s">
        <v>508</v>
      </c>
      <c r="C95" s="5" t="s">
        <v>54</v>
      </c>
      <c r="D95" s="5" t="s">
        <v>418</v>
      </c>
      <c r="E95" s="16" t="s">
        <v>509</v>
      </c>
    </row>
    <row r="97" spans="1:2" ht="14.25">
      <c r="A97" s="13"/>
      <c r="B97" s="14" t="s">
        <v>42</v>
      </c>
    </row>
    <row r="98" spans="1:5" ht="15">
      <c r="A98" s="15" t="s">
        <v>43</v>
      </c>
      <c r="B98" s="15" t="s">
        <v>44</v>
      </c>
      <c r="C98" s="15" t="s">
        <v>45</v>
      </c>
      <c r="D98" s="15" t="s">
        <v>46</v>
      </c>
      <c r="E98" s="15" t="s">
        <v>47</v>
      </c>
    </row>
    <row r="99" spans="1:5" ht="12.75">
      <c r="A99" s="12" t="s">
        <v>432</v>
      </c>
      <c r="B99" s="5" t="s">
        <v>48</v>
      </c>
      <c r="C99" s="5" t="s">
        <v>163</v>
      </c>
      <c r="D99" s="5" t="s">
        <v>436</v>
      </c>
      <c r="E99" s="16" t="s">
        <v>510</v>
      </c>
    </row>
    <row r="100" spans="1:5" ht="12.75">
      <c r="A100" s="12" t="s">
        <v>375</v>
      </c>
      <c r="B100" s="5" t="s">
        <v>48</v>
      </c>
      <c r="C100" s="5" t="s">
        <v>101</v>
      </c>
      <c r="D100" s="5" t="s">
        <v>49</v>
      </c>
      <c r="E100" s="16" t="s">
        <v>511</v>
      </c>
    </row>
    <row r="101" spans="1:5" ht="12.75">
      <c r="A101" s="12" t="s">
        <v>438</v>
      </c>
      <c r="B101" s="5" t="s">
        <v>48</v>
      </c>
      <c r="C101" s="5" t="s">
        <v>163</v>
      </c>
      <c r="D101" s="5" t="s">
        <v>114</v>
      </c>
      <c r="E101" s="16" t="s">
        <v>512</v>
      </c>
    </row>
    <row r="102" spans="1:5" ht="12.75">
      <c r="A102" s="12" t="s">
        <v>442</v>
      </c>
      <c r="B102" s="5" t="s">
        <v>48</v>
      </c>
      <c r="C102" s="5" t="s">
        <v>163</v>
      </c>
      <c r="D102" s="5" t="s">
        <v>90</v>
      </c>
      <c r="E102" s="16" t="s">
        <v>513</v>
      </c>
    </row>
    <row r="104" spans="1:2" ht="14.25">
      <c r="A104" s="13"/>
      <c r="B104" s="14" t="s">
        <v>51</v>
      </c>
    </row>
    <row r="105" spans="1:5" ht="15">
      <c r="A105" s="15" t="s">
        <v>43</v>
      </c>
      <c r="B105" s="15" t="s">
        <v>44</v>
      </c>
      <c r="C105" s="15" t="s">
        <v>45</v>
      </c>
      <c r="D105" s="15" t="s">
        <v>46</v>
      </c>
      <c r="E105" s="15" t="s">
        <v>47</v>
      </c>
    </row>
    <row r="106" spans="1:5" ht="12.75">
      <c r="A106" s="12" t="s">
        <v>446</v>
      </c>
      <c r="B106" s="5" t="s">
        <v>51</v>
      </c>
      <c r="C106" s="5" t="s">
        <v>163</v>
      </c>
      <c r="D106" s="5" t="s">
        <v>332</v>
      </c>
      <c r="E106" s="16" t="s">
        <v>514</v>
      </c>
    </row>
    <row r="107" spans="1:5" ht="12.75">
      <c r="A107" s="12" t="s">
        <v>472</v>
      </c>
      <c r="B107" s="5" t="s">
        <v>51</v>
      </c>
      <c r="C107" s="5" t="s">
        <v>52</v>
      </c>
      <c r="D107" s="5" t="s">
        <v>99</v>
      </c>
      <c r="E107" s="16" t="s">
        <v>515</v>
      </c>
    </row>
    <row r="108" spans="1:5" ht="12.75">
      <c r="A108" s="12" t="s">
        <v>476</v>
      </c>
      <c r="B108" s="5" t="s">
        <v>51</v>
      </c>
      <c r="C108" s="5" t="s">
        <v>52</v>
      </c>
      <c r="D108" s="5" t="s">
        <v>279</v>
      </c>
      <c r="E108" s="16" t="s">
        <v>516</v>
      </c>
    </row>
    <row r="109" spans="1:5" ht="12.75">
      <c r="A109" s="12" t="s">
        <v>450</v>
      </c>
      <c r="B109" s="5" t="s">
        <v>51</v>
      </c>
      <c r="C109" s="5" t="s">
        <v>20</v>
      </c>
      <c r="D109" s="5" t="s">
        <v>97</v>
      </c>
      <c r="E109" s="16" t="s">
        <v>517</v>
      </c>
    </row>
    <row r="110" spans="1:5" ht="12.75">
      <c r="A110" s="12" t="s">
        <v>419</v>
      </c>
      <c r="B110" s="5" t="s">
        <v>51</v>
      </c>
      <c r="C110" s="5" t="s">
        <v>54</v>
      </c>
      <c r="D110" s="5" t="s">
        <v>125</v>
      </c>
      <c r="E110" s="16" t="s">
        <v>518</v>
      </c>
    </row>
    <row r="111" spans="1:5" ht="12.75">
      <c r="A111" s="12" t="s">
        <v>381</v>
      </c>
      <c r="B111" s="5" t="s">
        <v>51</v>
      </c>
      <c r="C111" s="5" t="s">
        <v>101</v>
      </c>
      <c r="D111" s="5" t="s">
        <v>91</v>
      </c>
      <c r="E111" s="16" t="s">
        <v>519</v>
      </c>
    </row>
    <row r="112" spans="1:5" ht="12.75">
      <c r="A112" s="12" t="s">
        <v>385</v>
      </c>
      <c r="B112" s="5" t="s">
        <v>51</v>
      </c>
      <c r="C112" s="5" t="s">
        <v>101</v>
      </c>
      <c r="D112" s="5" t="s">
        <v>91</v>
      </c>
      <c r="E112" s="16" t="s">
        <v>520</v>
      </c>
    </row>
    <row r="113" spans="1:5" ht="12.75">
      <c r="A113" s="12" t="s">
        <v>455</v>
      </c>
      <c r="B113" s="5" t="s">
        <v>51</v>
      </c>
      <c r="C113" s="5" t="s">
        <v>20</v>
      </c>
      <c r="D113" s="5" t="s">
        <v>76</v>
      </c>
      <c r="E113" s="16" t="s">
        <v>521</v>
      </c>
    </row>
    <row r="114" spans="1:5" ht="12.75">
      <c r="A114" s="12" t="s">
        <v>390</v>
      </c>
      <c r="B114" s="5" t="s">
        <v>51</v>
      </c>
      <c r="C114" s="5" t="s">
        <v>101</v>
      </c>
      <c r="D114" s="5" t="s">
        <v>394</v>
      </c>
      <c r="E114" s="16" t="s">
        <v>522</v>
      </c>
    </row>
    <row r="115" spans="1:5" ht="12.75">
      <c r="A115" s="12" t="s">
        <v>423</v>
      </c>
      <c r="B115" s="5" t="s">
        <v>51</v>
      </c>
      <c r="C115" s="5" t="s">
        <v>54</v>
      </c>
      <c r="D115" s="5" t="s">
        <v>417</v>
      </c>
      <c r="E115" s="16" t="s">
        <v>523</v>
      </c>
    </row>
    <row r="116" spans="1:5" ht="12.75">
      <c r="A116" s="12" t="s">
        <v>395</v>
      </c>
      <c r="B116" s="5" t="s">
        <v>51</v>
      </c>
      <c r="C116" s="5" t="s">
        <v>101</v>
      </c>
      <c r="D116" s="5" t="s">
        <v>394</v>
      </c>
      <c r="E116" s="16" t="s">
        <v>524</v>
      </c>
    </row>
    <row r="117" spans="1:5" ht="12.75">
      <c r="A117" s="12" t="s">
        <v>459</v>
      </c>
      <c r="B117" s="5" t="s">
        <v>51</v>
      </c>
      <c r="C117" s="5" t="s">
        <v>20</v>
      </c>
      <c r="D117" s="5" t="s">
        <v>418</v>
      </c>
      <c r="E117" s="16" t="s">
        <v>525</v>
      </c>
    </row>
    <row r="118" spans="1:5" ht="12.75">
      <c r="A118" s="12" t="s">
        <v>400</v>
      </c>
      <c r="B118" s="5" t="s">
        <v>51</v>
      </c>
      <c r="C118" s="5" t="s">
        <v>101</v>
      </c>
      <c r="D118" s="5" t="s">
        <v>404</v>
      </c>
      <c r="E118" s="16" t="s">
        <v>526</v>
      </c>
    </row>
    <row r="119" spans="1:5" ht="12.75">
      <c r="A119" s="12" t="s">
        <v>426</v>
      </c>
      <c r="B119" s="5" t="s">
        <v>51</v>
      </c>
      <c r="C119" s="5" t="s">
        <v>54</v>
      </c>
      <c r="D119" s="5" t="s">
        <v>404</v>
      </c>
      <c r="E119" s="16" t="s">
        <v>527</v>
      </c>
    </row>
    <row r="120" spans="1:5" ht="12.75">
      <c r="A120" s="12" t="s">
        <v>367</v>
      </c>
      <c r="B120" s="5" t="s">
        <v>51</v>
      </c>
      <c r="C120" s="5" t="s">
        <v>303</v>
      </c>
      <c r="D120" s="5" t="s">
        <v>258</v>
      </c>
      <c r="E120" s="16" t="s">
        <v>528</v>
      </c>
    </row>
    <row r="121" spans="1:5" ht="12.75">
      <c r="A121" s="12" t="s">
        <v>405</v>
      </c>
      <c r="B121" s="5" t="s">
        <v>51</v>
      </c>
      <c r="C121" s="5" t="s">
        <v>101</v>
      </c>
      <c r="D121" s="5" t="s">
        <v>54</v>
      </c>
      <c r="E121" s="16" t="s">
        <v>529</v>
      </c>
    </row>
    <row r="123" spans="1:2" ht="14.25">
      <c r="A123" s="13"/>
      <c r="B123" s="14" t="s">
        <v>107</v>
      </c>
    </row>
    <row r="124" spans="1:5" ht="15">
      <c r="A124" s="15" t="s">
        <v>43</v>
      </c>
      <c r="B124" s="15" t="s">
        <v>44</v>
      </c>
      <c r="C124" s="15" t="s">
        <v>45</v>
      </c>
      <c r="D124" s="15" t="s">
        <v>46</v>
      </c>
      <c r="E124" s="15" t="s">
        <v>47</v>
      </c>
    </row>
    <row r="125" spans="1:5" ht="12.75">
      <c r="A125" s="12" t="s">
        <v>468</v>
      </c>
      <c r="B125" s="5" t="s">
        <v>231</v>
      </c>
      <c r="C125" s="5" t="s">
        <v>20</v>
      </c>
      <c r="D125" s="5" t="s">
        <v>83</v>
      </c>
      <c r="E125" s="16" t="s">
        <v>530</v>
      </c>
    </row>
    <row r="126" spans="1:5" ht="12.75">
      <c r="A126" s="12" t="s">
        <v>493</v>
      </c>
      <c r="B126" s="5" t="s">
        <v>140</v>
      </c>
      <c r="C126" s="5" t="s">
        <v>91</v>
      </c>
      <c r="D126" s="5" t="s">
        <v>84</v>
      </c>
      <c r="E126" s="16" t="s">
        <v>531</v>
      </c>
    </row>
    <row r="127" spans="1:5" ht="12.75">
      <c r="A127" s="12" t="s">
        <v>481</v>
      </c>
      <c r="B127" s="5" t="s">
        <v>108</v>
      </c>
      <c r="C127" s="5" t="s">
        <v>52</v>
      </c>
      <c r="D127" s="5" t="s">
        <v>123</v>
      </c>
      <c r="E127" s="16" t="s">
        <v>532</v>
      </c>
    </row>
    <row r="128" spans="1:5" ht="12.75">
      <c r="A128" s="12" t="s">
        <v>485</v>
      </c>
      <c r="B128" s="5" t="s">
        <v>221</v>
      </c>
      <c r="C128" s="5" t="s">
        <v>49</v>
      </c>
      <c r="D128" s="5" t="s">
        <v>197</v>
      </c>
      <c r="E128" s="16" t="s">
        <v>533</v>
      </c>
    </row>
    <row r="129" spans="1:5" ht="12.75">
      <c r="A129" s="12" t="s">
        <v>463</v>
      </c>
      <c r="B129" s="5" t="s">
        <v>221</v>
      </c>
      <c r="C129" s="5" t="s">
        <v>20</v>
      </c>
      <c r="D129" s="5" t="s">
        <v>91</v>
      </c>
      <c r="E129" s="16" t="s">
        <v>534</v>
      </c>
    </row>
    <row r="130" spans="1:5" ht="12.75">
      <c r="A130" s="12" t="s">
        <v>71</v>
      </c>
      <c r="B130" s="5" t="s">
        <v>221</v>
      </c>
      <c r="C130" s="5" t="s">
        <v>54</v>
      </c>
      <c r="D130" s="5" t="s">
        <v>64</v>
      </c>
      <c r="E130" s="16" t="s">
        <v>535</v>
      </c>
    </row>
    <row r="131" spans="1:5" ht="12.75">
      <c r="A131" s="12" t="s">
        <v>409</v>
      </c>
      <c r="B131" s="5" t="s">
        <v>221</v>
      </c>
      <c r="C131" s="5" t="s">
        <v>101</v>
      </c>
      <c r="D131" s="5" t="s">
        <v>176</v>
      </c>
      <c r="E131" s="16" t="s">
        <v>536</v>
      </c>
    </row>
  </sheetData>
  <sheetProtection/>
  <mergeCells count="24">
    <mergeCell ref="A61:L61"/>
    <mergeCell ref="A65:L65"/>
    <mergeCell ref="A16:L16"/>
    <mergeCell ref="A19:L19"/>
    <mergeCell ref="A22:L22"/>
    <mergeCell ref="A26:L26"/>
    <mergeCell ref="A36:L36"/>
    <mergeCell ref="A43:L43"/>
    <mergeCell ref="M3:M4"/>
    <mergeCell ref="A5:L5"/>
    <mergeCell ref="A8:L8"/>
    <mergeCell ref="A11:L11"/>
    <mergeCell ref="A49:L49"/>
    <mergeCell ref="A56:L56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37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25.25390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5.125" style="5" bestFit="1" customWidth="1"/>
    <col min="22" max="16384" width="9.125" style="4" customWidth="1"/>
  </cols>
  <sheetData>
    <row r="1" spans="1:21" s="3" customFormat="1" ht="28.5" customHeight="1">
      <c r="A1" s="83" t="s">
        <v>803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</row>
    <row r="2" spans="1:21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1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1</v>
      </c>
      <c r="H3" s="93"/>
      <c r="I3" s="93"/>
      <c r="J3" s="93"/>
      <c r="K3" s="93" t="s">
        <v>2</v>
      </c>
      <c r="L3" s="93"/>
      <c r="M3" s="93"/>
      <c r="N3" s="93"/>
      <c r="O3" s="93" t="s">
        <v>3</v>
      </c>
      <c r="P3" s="93"/>
      <c r="Q3" s="93"/>
      <c r="R3" s="93"/>
      <c r="S3" s="93" t="s">
        <v>4</v>
      </c>
      <c r="T3" s="93" t="s">
        <v>6</v>
      </c>
      <c r="U3" s="77" t="s">
        <v>5</v>
      </c>
    </row>
    <row r="4" spans="1:21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92"/>
      <c r="T4" s="92"/>
      <c r="U4" s="78"/>
    </row>
    <row r="5" spans="1:20" ht="15">
      <c r="A5" s="79" t="s">
        <v>250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1" ht="12.75">
      <c r="A6" s="6" t="s">
        <v>328</v>
      </c>
      <c r="B6" s="6" t="s">
        <v>329</v>
      </c>
      <c r="C6" s="6" t="s">
        <v>330</v>
      </c>
      <c r="D6" s="6" t="str">
        <f>"0,7494"</f>
        <v>0,7494</v>
      </c>
      <c r="E6" s="6" t="s">
        <v>38</v>
      </c>
      <c r="F6" s="6" t="s">
        <v>28</v>
      </c>
      <c r="G6" s="8" t="s">
        <v>137</v>
      </c>
      <c r="H6" s="8" t="s">
        <v>97</v>
      </c>
      <c r="I6" s="7" t="s">
        <v>124</v>
      </c>
      <c r="J6" s="7"/>
      <c r="K6" s="8" t="s">
        <v>331</v>
      </c>
      <c r="L6" s="7" t="s">
        <v>64</v>
      </c>
      <c r="M6" s="7" t="s">
        <v>64</v>
      </c>
      <c r="N6" s="7"/>
      <c r="O6" s="8" t="s">
        <v>332</v>
      </c>
      <c r="P6" s="8" t="s">
        <v>99</v>
      </c>
      <c r="Q6" s="7" t="s">
        <v>333</v>
      </c>
      <c r="R6" s="7"/>
      <c r="S6" s="6" t="str">
        <f>"487,5"</f>
        <v>487,5</v>
      </c>
      <c r="T6" s="8" t="str">
        <f>"365,3081"</f>
        <v>365,3081</v>
      </c>
      <c r="U6" s="6" t="s">
        <v>334</v>
      </c>
    </row>
    <row r="8" ht="15">
      <c r="E8" s="9" t="s">
        <v>643</v>
      </c>
    </row>
    <row r="9" ht="15">
      <c r="E9" s="9" t="s">
        <v>646</v>
      </c>
    </row>
    <row r="10" ht="15">
      <c r="E10" s="9" t="s">
        <v>644</v>
      </c>
    </row>
    <row r="11" ht="15">
      <c r="E11" s="9" t="s">
        <v>645</v>
      </c>
    </row>
    <row r="12" ht="15">
      <c r="E12" s="9" t="s">
        <v>648</v>
      </c>
    </row>
    <row r="13" ht="15">
      <c r="E13" s="9" t="s">
        <v>647</v>
      </c>
    </row>
    <row r="14" ht="15">
      <c r="E14" s="9"/>
    </row>
    <row r="16" spans="1:2" ht="18">
      <c r="A16" s="10" t="s">
        <v>40</v>
      </c>
      <c r="B16" s="10"/>
    </row>
    <row r="17" spans="1:2" ht="15">
      <c r="A17" s="11" t="s">
        <v>41</v>
      </c>
      <c r="B17" s="11"/>
    </row>
    <row r="18" spans="1:2" ht="14.25">
      <c r="A18" s="13"/>
      <c r="B18" s="14" t="s">
        <v>42</v>
      </c>
    </row>
    <row r="19" spans="1:5" ht="15">
      <c r="A19" s="15" t="s">
        <v>43</v>
      </c>
      <c r="B19" s="15" t="s">
        <v>44</v>
      </c>
      <c r="C19" s="15" t="s">
        <v>45</v>
      </c>
      <c r="D19" s="15" t="s">
        <v>46</v>
      </c>
      <c r="E19" s="15" t="s">
        <v>47</v>
      </c>
    </row>
    <row r="20" spans="1:5" ht="12.75">
      <c r="A20" s="12" t="s">
        <v>327</v>
      </c>
      <c r="B20" s="5" t="s">
        <v>48</v>
      </c>
      <c r="C20" s="5" t="s">
        <v>303</v>
      </c>
      <c r="D20" s="5" t="s">
        <v>335</v>
      </c>
      <c r="E20" s="16" t="s">
        <v>336</v>
      </c>
    </row>
  </sheetData>
  <sheetProtection/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0.37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4.00390625" style="5" bestFit="1" customWidth="1"/>
    <col min="22" max="16384" width="9.125" style="4" customWidth="1"/>
  </cols>
  <sheetData>
    <row r="1" spans="1:21" s="3" customFormat="1" ht="28.5" customHeight="1">
      <c r="A1" s="83" t="s">
        <v>802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</row>
    <row r="2" spans="1:21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1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1</v>
      </c>
      <c r="H3" s="93"/>
      <c r="I3" s="93"/>
      <c r="J3" s="93"/>
      <c r="K3" s="93" t="s">
        <v>2</v>
      </c>
      <c r="L3" s="93"/>
      <c r="M3" s="93"/>
      <c r="N3" s="93"/>
      <c r="O3" s="93" t="s">
        <v>3</v>
      </c>
      <c r="P3" s="93"/>
      <c r="Q3" s="93"/>
      <c r="R3" s="93"/>
      <c r="S3" s="93" t="s">
        <v>4</v>
      </c>
      <c r="T3" s="93" t="s">
        <v>6</v>
      </c>
      <c r="U3" s="77" t="s">
        <v>5</v>
      </c>
    </row>
    <row r="4" spans="1:21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92"/>
      <c r="T4" s="92"/>
      <c r="U4" s="78"/>
    </row>
    <row r="5" spans="1:20" ht="15">
      <c r="A5" s="79" t="s">
        <v>237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1" ht="12.75">
      <c r="A6" s="6" t="s">
        <v>239</v>
      </c>
      <c r="B6" s="6" t="s">
        <v>240</v>
      </c>
      <c r="C6" s="6" t="s">
        <v>241</v>
      </c>
      <c r="D6" s="6" t="str">
        <f>"1,1827"</f>
        <v>1,1827</v>
      </c>
      <c r="E6" s="6" t="s">
        <v>38</v>
      </c>
      <c r="F6" s="6" t="s">
        <v>19</v>
      </c>
      <c r="G6" s="7" t="s">
        <v>242</v>
      </c>
      <c r="H6" s="8" t="s">
        <v>242</v>
      </c>
      <c r="I6" s="7" t="s">
        <v>54</v>
      </c>
      <c r="J6" s="7"/>
      <c r="K6" s="8" t="s">
        <v>243</v>
      </c>
      <c r="L6" s="8" t="s">
        <v>155</v>
      </c>
      <c r="M6" s="7" t="s">
        <v>244</v>
      </c>
      <c r="N6" s="7"/>
      <c r="O6" s="8" t="s">
        <v>242</v>
      </c>
      <c r="P6" s="8" t="s">
        <v>54</v>
      </c>
      <c r="Q6" s="7" t="s">
        <v>245</v>
      </c>
      <c r="R6" s="7"/>
      <c r="S6" s="6" t="str">
        <f>"225,0"</f>
        <v>225,0</v>
      </c>
      <c r="T6" s="8" t="str">
        <f>"266,1075"</f>
        <v>266,1075</v>
      </c>
      <c r="U6" s="6" t="s">
        <v>21</v>
      </c>
    </row>
    <row r="8" spans="1:20" ht="15">
      <c r="A8" s="81" t="s">
        <v>157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1" ht="12.75">
      <c r="A9" s="6" t="s">
        <v>247</v>
      </c>
      <c r="B9" s="6" t="s">
        <v>248</v>
      </c>
      <c r="C9" s="6" t="s">
        <v>249</v>
      </c>
      <c r="D9" s="6" t="str">
        <f>"1,0780"</f>
        <v>1,0780</v>
      </c>
      <c r="E9" s="6" t="s">
        <v>38</v>
      </c>
      <c r="F9" s="6" t="s">
        <v>63</v>
      </c>
      <c r="G9" s="8" t="s">
        <v>115</v>
      </c>
      <c r="H9" s="8" t="s">
        <v>164</v>
      </c>
      <c r="I9" s="7" t="s">
        <v>20</v>
      </c>
      <c r="J9" s="7"/>
      <c r="K9" s="8" t="s">
        <v>155</v>
      </c>
      <c r="L9" s="8" t="s">
        <v>244</v>
      </c>
      <c r="M9" s="7"/>
      <c r="N9" s="7"/>
      <c r="O9" s="8" t="s">
        <v>64</v>
      </c>
      <c r="P9" s="8" t="s">
        <v>90</v>
      </c>
      <c r="Q9" s="8" t="s">
        <v>75</v>
      </c>
      <c r="R9" s="7"/>
      <c r="S9" s="6" t="str">
        <f>"295,0"</f>
        <v>295,0</v>
      </c>
      <c r="T9" s="8" t="str">
        <f>"318,0100"</f>
        <v>318,0100</v>
      </c>
      <c r="U9" s="6" t="s">
        <v>21</v>
      </c>
    </row>
    <row r="11" spans="1:20" ht="15">
      <c r="A11" s="81" t="s">
        <v>250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1" ht="12.75">
      <c r="A12" s="6" t="s">
        <v>252</v>
      </c>
      <c r="B12" s="6" t="s">
        <v>253</v>
      </c>
      <c r="C12" s="6" t="s">
        <v>254</v>
      </c>
      <c r="D12" s="6" t="str">
        <f>"0,9277"</f>
        <v>0,9277</v>
      </c>
      <c r="E12" s="6" t="s">
        <v>38</v>
      </c>
      <c r="F12" s="6" t="s">
        <v>19</v>
      </c>
      <c r="G12" s="8" t="s">
        <v>244</v>
      </c>
      <c r="H12" s="8" t="s">
        <v>101</v>
      </c>
      <c r="I12" s="8" t="s">
        <v>242</v>
      </c>
      <c r="J12" s="7"/>
      <c r="K12" s="8" t="s">
        <v>255</v>
      </c>
      <c r="L12" s="8" t="s">
        <v>256</v>
      </c>
      <c r="M12" s="7" t="s">
        <v>257</v>
      </c>
      <c r="N12" s="7"/>
      <c r="O12" s="8" t="s">
        <v>258</v>
      </c>
      <c r="P12" s="8" t="s">
        <v>115</v>
      </c>
      <c r="Q12" s="8" t="s">
        <v>163</v>
      </c>
      <c r="R12" s="7"/>
      <c r="S12" s="6" t="str">
        <f>"217,5"</f>
        <v>217,5</v>
      </c>
      <c r="T12" s="8" t="str">
        <f>"201,7856"</f>
        <v>201,7856</v>
      </c>
      <c r="U12" s="6" t="s">
        <v>259</v>
      </c>
    </row>
    <row r="14" spans="1:20" ht="15">
      <c r="A14" s="81" t="s">
        <v>250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1" ht="12.75">
      <c r="A15" s="6" t="s">
        <v>261</v>
      </c>
      <c r="B15" s="6" t="s">
        <v>262</v>
      </c>
      <c r="C15" s="6" t="s">
        <v>263</v>
      </c>
      <c r="D15" s="6" t="str">
        <f>"0,7818"</f>
        <v>0,7818</v>
      </c>
      <c r="E15" s="6" t="s">
        <v>38</v>
      </c>
      <c r="F15" s="6" t="s">
        <v>264</v>
      </c>
      <c r="G15" s="7" t="s">
        <v>83</v>
      </c>
      <c r="H15" s="7" t="s">
        <v>83</v>
      </c>
      <c r="I15" s="8" t="s">
        <v>83</v>
      </c>
      <c r="J15" s="7"/>
      <c r="K15" s="8" t="s">
        <v>258</v>
      </c>
      <c r="L15" s="8" t="s">
        <v>164</v>
      </c>
      <c r="M15" s="8" t="s">
        <v>176</v>
      </c>
      <c r="N15" s="7"/>
      <c r="O15" s="8" t="s">
        <v>83</v>
      </c>
      <c r="P15" s="8" t="s">
        <v>137</v>
      </c>
      <c r="Q15" s="7" t="s">
        <v>97</v>
      </c>
      <c r="R15" s="7"/>
      <c r="S15" s="6" t="str">
        <f>"435,0"</f>
        <v>435,0</v>
      </c>
      <c r="T15" s="8" t="str">
        <f>"340,1047"</f>
        <v>340,1047</v>
      </c>
      <c r="U15" s="6" t="s">
        <v>21</v>
      </c>
    </row>
    <row r="17" spans="1:20" ht="15">
      <c r="A17" s="81" t="s">
        <v>57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1" ht="12.75">
      <c r="A18" s="6" t="s">
        <v>266</v>
      </c>
      <c r="B18" s="6" t="s">
        <v>267</v>
      </c>
      <c r="C18" s="6" t="s">
        <v>268</v>
      </c>
      <c r="D18" s="6" t="str">
        <f>"0,7229"</f>
        <v>0,7229</v>
      </c>
      <c r="E18" s="6" t="s">
        <v>217</v>
      </c>
      <c r="F18" s="6" t="s">
        <v>19</v>
      </c>
      <c r="G18" s="8" t="s">
        <v>76</v>
      </c>
      <c r="H18" s="8" t="s">
        <v>83</v>
      </c>
      <c r="I18" s="7" t="s">
        <v>97</v>
      </c>
      <c r="J18" s="7"/>
      <c r="K18" s="8" t="s">
        <v>114</v>
      </c>
      <c r="L18" s="7" t="s">
        <v>70</v>
      </c>
      <c r="M18" s="7" t="s">
        <v>70</v>
      </c>
      <c r="N18" s="7"/>
      <c r="O18" s="8" t="s">
        <v>83</v>
      </c>
      <c r="P18" s="8" t="s">
        <v>269</v>
      </c>
      <c r="Q18" s="7" t="s">
        <v>138</v>
      </c>
      <c r="R18" s="7"/>
      <c r="S18" s="6" t="str">
        <f>"462,5"</f>
        <v>462,5</v>
      </c>
      <c r="T18" s="8" t="str">
        <f>"334,3412"</f>
        <v>334,3412</v>
      </c>
      <c r="U18" s="6" t="s">
        <v>270</v>
      </c>
    </row>
    <row r="20" spans="1:20" ht="15">
      <c r="A20" s="81" t="s">
        <v>13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1" ht="12.75">
      <c r="A21" s="6" t="s">
        <v>272</v>
      </c>
      <c r="B21" s="6" t="s">
        <v>273</v>
      </c>
      <c r="C21" s="6" t="s">
        <v>274</v>
      </c>
      <c r="D21" s="6" t="str">
        <f>"0,6635"</f>
        <v>0,6635</v>
      </c>
      <c r="E21" s="6" t="s">
        <v>38</v>
      </c>
      <c r="F21" s="6" t="s">
        <v>19</v>
      </c>
      <c r="G21" s="7" t="s">
        <v>90</v>
      </c>
      <c r="H21" s="8" t="s">
        <v>49</v>
      </c>
      <c r="I21" s="8" t="s">
        <v>114</v>
      </c>
      <c r="J21" s="7"/>
      <c r="K21" s="8" t="s">
        <v>20</v>
      </c>
      <c r="L21" s="7" t="s">
        <v>176</v>
      </c>
      <c r="M21" s="8" t="s">
        <v>176</v>
      </c>
      <c r="N21" s="7"/>
      <c r="O21" s="8" t="s">
        <v>137</v>
      </c>
      <c r="P21" s="8" t="s">
        <v>97</v>
      </c>
      <c r="Q21" s="8" t="s">
        <v>124</v>
      </c>
      <c r="R21" s="7"/>
      <c r="S21" s="6" t="str">
        <f>"430,0"</f>
        <v>430,0</v>
      </c>
      <c r="T21" s="8" t="str">
        <f>"285,3050"</f>
        <v>285,3050</v>
      </c>
      <c r="U21" s="6" t="s">
        <v>259</v>
      </c>
    </row>
    <row r="23" spans="1:20" ht="15">
      <c r="A23" s="81" t="s">
        <v>177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1" ht="12.75">
      <c r="A24" s="6" t="s">
        <v>276</v>
      </c>
      <c r="B24" s="6" t="s">
        <v>277</v>
      </c>
      <c r="C24" s="6" t="s">
        <v>191</v>
      </c>
      <c r="D24" s="6" t="str">
        <f>"0,6197"</f>
        <v>0,6197</v>
      </c>
      <c r="E24" s="6" t="s">
        <v>38</v>
      </c>
      <c r="F24" s="6" t="s">
        <v>278</v>
      </c>
      <c r="G24" s="8" t="s">
        <v>97</v>
      </c>
      <c r="H24" s="7" t="s">
        <v>124</v>
      </c>
      <c r="I24" s="7" t="s">
        <v>124</v>
      </c>
      <c r="J24" s="7"/>
      <c r="K24" s="8" t="s">
        <v>114</v>
      </c>
      <c r="L24" s="8" t="s">
        <v>91</v>
      </c>
      <c r="M24" s="7" t="s">
        <v>139</v>
      </c>
      <c r="N24" s="7"/>
      <c r="O24" s="8" t="s">
        <v>279</v>
      </c>
      <c r="P24" s="8" t="s">
        <v>280</v>
      </c>
      <c r="Q24" s="7" t="s">
        <v>281</v>
      </c>
      <c r="R24" s="7"/>
      <c r="S24" s="6" t="str">
        <f>"525,0"</f>
        <v>525,0</v>
      </c>
      <c r="T24" s="8" t="str">
        <f>"325,3425"</f>
        <v>325,3425</v>
      </c>
      <c r="U24" s="6" t="s">
        <v>21</v>
      </c>
    </row>
    <row r="26" spans="1:20" ht="15">
      <c r="A26" s="81" t="s">
        <v>85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1" ht="12.75">
      <c r="A27" s="17" t="s">
        <v>87</v>
      </c>
      <c r="B27" s="17" t="s">
        <v>88</v>
      </c>
      <c r="C27" s="17" t="s">
        <v>89</v>
      </c>
      <c r="D27" s="17" t="str">
        <f>"0,6026"</f>
        <v>0,6026</v>
      </c>
      <c r="E27" s="17" t="s">
        <v>18</v>
      </c>
      <c r="F27" s="17" t="s">
        <v>19</v>
      </c>
      <c r="G27" s="19" t="s">
        <v>20</v>
      </c>
      <c r="H27" s="19" t="s">
        <v>90</v>
      </c>
      <c r="I27" s="19" t="s">
        <v>91</v>
      </c>
      <c r="J27" s="18"/>
      <c r="K27" s="19" t="s">
        <v>163</v>
      </c>
      <c r="L27" s="18" t="s">
        <v>20</v>
      </c>
      <c r="M27" s="18"/>
      <c r="N27" s="18"/>
      <c r="O27" s="19" t="s">
        <v>90</v>
      </c>
      <c r="P27" s="19" t="s">
        <v>91</v>
      </c>
      <c r="Q27" s="19" t="s">
        <v>83</v>
      </c>
      <c r="R27" s="18"/>
      <c r="S27" s="17" t="str">
        <f>"390,0"</f>
        <v>390,0</v>
      </c>
      <c r="T27" s="19" t="str">
        <f>"235,0335"</f>
        <v>235,0335</v>
      </c>
      <c r="U27" s="17" t="s">
        <v>92</v>
      </c>
    </row>
    <row r="28" spans="1:21" ht="12.75">
      <c r="A28" s="23" t="s">
        <v>283</v>
      </c>
      <c r="B28" s="23" t="s">
        <v>284</v>
      </c>
      <c r="C28" s="23" t="s">
        <v>196</v>
      </c>
      <c r="D28" s="23" t="str">
        <f>"0,5870"</f>
        <v>0,5870</v>
      </c>
      <c r="E28" s="23" t="s">
        <v>38</v>
      </c>
      <c r="F28" s="23" t="s">
        <v>19</v>
      </c>
      <c r="G28" s="25" t="s">
        <v>39</v>
      </c>
      <c r="H28" s="25" t="s">
        <v>285</v>
      </c>
      <c r="I28" s="25" t="s">
        <v>29</v>
      </c>
      <c r="J28" s="24"/>
      <c r="K28" s="25" t="s">
        <v>137</v>
      </c>
      <c r="L28" s="25" t="s">
        <v>97</v>
      </c>
      <c r="M28" s="25" t="s">
        <v>124</v>
      </c>
      <c r="N28" s="24"/>
      <c r="O28" s="25" t="s">
        <v>39</v>
      </c>
      <c r="P28" s="25" t="s">
        <v>29</v>
      </c>
      <c r="Q28" s="25" t="s">
        <v>286</v>
      </c>
      <c r="R28" s="24"/>
      <c r="S28" s="23" t="str">
        <f>"717,5"</f>
        <v>717,5</v>
      </c>
      <c r="T28" s="25" t="str">
        <f>"421,1366"</f>
        <v>421,1366</v>
      </c>
      <c r="U28" s="23" t="s">
        <v>21</v>
      </c>
    </row>
    <row r="29" spans="1:21" ht="12.75">
      <c r="A29" s="20" t="s">
        <v>288</v>
      </c>
      <c r="B29" s="20" t="s">
        <v>289</v>
      </c>
      <c r="C29" s="20" t="s">
        <v>290</v>
      </c>
      <c r="D29" s="20" t="str">
        <f>"0,5894"</f>
        <v>0,5894</v>
      </c>
      <c r="E29" s="20" t="s">
        <v>38</v>
      </c>
      <c r="F29" s="20" t="s">
        <v>291</v>
      </c>
      <c r="G29" s="22" t="s">
        <v>99</v>
      </c>
      <c r="H29" s="22" t="s">
        <v>126</v>
      </c>
      <c r="I29" s="21" t="s">
        <v>127</v>
      </c>
      <c r="J29" s="21"/>
      <c r="K29" s="22" t="s">
        <v>76</v>
      </c>
      <c r="L29" s="22" t="s">
        <v>83</v>
      </c>
      <c r="M29" s="22" t="s">
        <v>137</v>
      </c>
      <c r="N29" s="21"/>
      <c r="O29" s="22" t="s">
        <v>292</v>
      </c>
      <c r="P29" s="22" t="s">
        <v>39</v>
      </c>
      <c r="Q29" s="22" t="s">
        <v>285</v>
      </c>
      <c r="R29" s="21"/>
      <c r="S29" s="20" t="str">
        <f>"630,0"</f>
        <v>630,0</v>
      </c>
      <c r="T29" s="22" t="str">
        <f>"371,3220"</f>
        <v>371,3220</v>
      </c>
      <c r="U29" s="20" t="s">
        <v>293</v>
      </c>
    </row>
    <row r="31" spans="1:20" ht="15">
      <c r="A31" s="81" t="s">
        <v>22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1" ht="12.75">
      <c r="A32" s="6" t="s">
        <v>295</v>
      </c>
      <c r="B32" s="6" t="s">
        <v>296</v>
      </c>
      <c r="C32" s="6" t="s">
        <v>297</v>
      </c>
      <c r="D32" s="6" t="str">
        <f>"0,5640"</f>
        <v>0,5640</v>
      </c>
      <c r="E32" s="6" t="s">
        <v>38</v>
      </c>
      <c r="F32" s="6" t="s">
        <v>28</v>
      </c>
      <c r="G32" s="8" t="s">
        <v>126</v>
      </c>
      <c r="H32" s="8" t="s">
        <v>292</v>
      </c>
      <c r="I32" s="7" t="s">
        <v>39</v>
      </c>
      <c r="J32" s="7"/>
      <c r="K32" s="8" t="s">
        <v>137</v>
      </c>
      <c r="L32" s="8" t="s">
        <v>97</v>
      </c>
      <c r="M32" s="8" t="s">
        <v>98</v>
      </c>
      <c r="N32" s="7"/>
      <c r="O32" s="8" t="s">
        <v>298</v>
      </c>
      <c r="P32" s="8" t="s">
        <v>299</v>
      </c>
      <c r="Q32" s="8" t="s">
        <v>300</v>
      </c>
      <c r="R32" s="7"/>
      <c r="S32" s="6" t="str">
        <f>"695,0"</f>
        <v>695,0</v>
      </c>
      <c r="T32" s="8" t="str">
        <f>"391,9453"</f>
        <v>391,9453</v>
      </c>
      <c r="U32" s="6" t="s">
        <v>21</v>
      </c>
    </row>
    <row r="34" ht="15">
      <c r="E34" s="9" t="s">
        <v>643</v>
      </c>
    </row>
    <row r="35" ht="15">
      <c r="E35" s="9" t="s">
        <v>646</v>
      </c>
    </row>
    <row r="36" ht="15">
      <c r="E36" s="9" t="s">
        <v>644</v>
      </c>
    </row>
    <row r="37" ht="15">
      <c r="E37" s="9" t="s">
        <v>645</v>
      </c>
    </row>
    <row r="38" ht="15">
      <c r="E38" s="9" t="s">
        <v>648</v>
      </c>
    </row>
    <row r="39" ht="15">
      <c r="E39" s="9" t="s">
        <v>647</v>
      </c>
    </row>
    <row r="40" ht="15">
      <c r="E40" s="9"/>
    </row>
    <row r="42" spans="1:2" ht="18">
      <c r="A42" s="10" t="s">
        <v>40</v>
      </c>
      <c r="B42" s="10"/>
    </row>
    <row r="43" spans="1:2" ht="15">
      <c r="A43" s="11" t="s">
        <v>100</v>
      </c>
      <c r="B43" s="11"/>
    </row>
    <row r="44" spans="1:2" ht="14.25">
      <c r="A44" s="13"/>
      <c r="B44" s="14" t="s">
        <v>301</v>
      </c>
    </row>
    <row r="45" spans="1:5" ht="15">
      <c r="A45" s="15" t="s">
        <v>43</v>
      </c>
      <c r="B45" s="15" t="s">
        <v>44</v>
      </c>
      <c r="C45" s="15" t="s">
        <v>45</v>
      </c>
      <c r="D45" s="15" t="s">
        <v>46</v>
      </c>
      <c r="E45" s="15" t="s">
        <v>47</v>
      </c>
    </row>
    <row r="46" spans="1:5" ht="12.75">
      <c r="A46" s="12" t="s">
        <v>251</v>
      </c>
      <c r="B46" s="5" t="s">
        <v>302</v>
      </c>
      <c r="C46" s="5" t="s">
        <v>303</v>
      </c>
      <c r="D46" s="5" t="s">
        <v>281</v>
      </c>
      <c r="E46" s="16" t="s">
        <v>304</v>
      </c>
    </row>
    <row r="48" spans="1:2" ht="14.25">
      <c r="A48" s="13"/>
      <c r="B48" s="14" t="s">
        <v>305</v>
      </c>
    </row>
    <row r="49" spans="1:5" ht="15">
      <c r="A49" s="15" t="s">
        <v>43</v>
      </c>
      <c r="B49" s="15" t="s">
        <v>44</v>
      </c>
      <c r="C49" s="15" t="s">
        <v>45</v>
      </c>
      <c r="D49" s="15" t="s">
        <v>46</v>
      </c>
      <c r="E49" s="15" t="s">
        <v>47</v>
      </c>
    </row>
    <row r="50" spans="1:5" ht="12.75">
      <c r="A50" s="12" t="s">
        <v>246</v>
      </c>
      <c r="B50" s="5" t="s">
        <v>48</v>
      </c>
      <c r="C50" s="5" t="s">
        <v>229</v>
      </c>
      <c r="D50" s="5" t="s">
        <v>306</v>
      </c>
      <c r="E50" s="16" t="s">
        <v>307</v>
      </c>
    </row>
    <row r="52" spans="1:2" ht="14.25">
      <c r="A52" s="13"/>
      <c r="B52" s="14" t="s">
        <v>51</v>
      </c>
    </row>
    <row r="53" spans="1:5" ht="15">
      <c r="A53" s="15" t="s">
        <v>43</v>
      </c>
      <c r="B53" s="15" t="s">
        <v>44</v>
      </c>
      <c r="C53" s="15" t="s">
        <v>45</v>
      </c>
      <c r="D53" s="15" t="s">
        <v>46</v>
      </c>
      <c r="E53" s="15" t="s">
        <v>47</v>
      </c>
    </row>
    <row r="54" spans="1:5" ht="12.75">
      <c r="A54" s="12" t="s">
        <v>238</v>
      </c>
      <c r="B54" s="5" t="s">
        <v>51</v>
      </c>
      <c r="C54" s="5" t="s">
        <v>308</v>
      </c>
      <c r="D54" s="5" t="s">
        <v>309</v>
      </c>
      <c r="E54" s="16" t="s">
        <v>310</v>
      </c>
    </row>
    <row r="57" spans="1:2" ht="15">
      <c r="A57" s="11" t="s">
        <v>41</v>
      </c>
      <c r="B57" s="11"/>
    </row>
    <row r="58" spans="1:2" ht="14.25">
      <c r="A58" s="13"/>
      <c r="B58" s="14" t="s">
        <v>42</v>
      </c>
    </row>
    <row r="59" spans="1:5" ht="15">
      <c r="A59" s="15" t="s">
        <v>43</v>
      </c>
      <c r="B59" s="15" t="s">
        <v>44</v>
      </c>
      <c r="C59" s="15" t="s">
        <v>45</v>
      </c>
      <c r="D59" s="15" t="s">
        <v>46</v>
      </c>
      <c r="E59" s="15" t="s">
        <v>47</v>
      </c>
    </row>
    <row r="60" spans="1:5" ht="12.75">
      <c r="A60" s="12" t="s">
        <v>260</v>
      </c>
      <c r="B60" s="5" t="s">
        <v>48</v>
      </c>
      <c r="C60" s="5" t="s">
        <v>303</v>
      </c>
      <c r="D60" s="5" t="s">
        <v>311</v>
      </c>
      <c r="E60" s="16" t="s">
        <v>312</v>
      </c>
    </row>
    <row r="61" spans="1:5" ht="12.75">
      <c r="A61" s="12" t="s">
        <v>265</v>
      </c>
      <c r="B61" s="5" t="s">
        <v>48</v>
      </c>
      <c r="C61" s="5" t="s">
        <v>101</v>
      </c>
      <c r="D61" s="5" t="s">
        <v>313</v>
      </c>
      <c r="E61" s="16" t="s">
        <v>314</v>
      </c>
    </row>
    <row r="62" spans="1:5" ht="12.75">
      <c r="A62" s="12" t="s">
        <v>86</v>
      </c>
      <c r="B62" s="5" t="s">
        <v>48</v>
      </c>
      <c r="C62" s="5" t="s">
        <v>20</v>
      </c>
      <c r="D62" s="5" t="s">
        <v>315</v>
      </c>
      <c r="E62" s="16" t="s">
        <v>316</v>
      </c>
    </row>
    <row r="64" spans="1:2" ht="14.25">
      <c r="A64" s="13"/>
      <c r="B64" s="14" t="s">
        <v>51</v>
      </c>
    </row>
    <row r="65" spans="1:5" ht="15">
      <c r="A65" s="15" t="s">
        <v>43</v>
      </c>
      <c r="B65" s="15" t="s">
        <v>44</v>
      </c>
      <c r="C65" s="15" t="s">
        <v>45</v>
      </c>
      <c r="D65" s="15" t="s">
        <v>46</v>
      </c>
      <c r="E65" s="15" t="s">
        <v>47</v>
      </c>
    </row>
    <row r="66" spans="1:5" ht="12.75">
      <c r="A66" s="12" t="s">
        <v>282</v>
      </c>
      <c r="B66" s="5" t="s">
        <v>51</v>
      </c>
      <c r="C66" s="5" t="s">
        <v>20</v>
      </c>
      <c r="D66" s="5" t="s">
        <v>317</v>
      </c>
      <c r="E66" s="16" t="s">
        <v>318</v>
      </c>
    </row>
    <row r="67" spans="1:5" ht="12.75">
      <c r="A67" s="12" t="s">
        <v>294</v>
      </c>
      <c r="B67" s="5" t="s">
        <v>51</v>
      </c>
      <c r="C67" s="5" t="s">
        <v>52</v>
      </c>
      <c r="D67" s="5" t="s">
        <v>319</v>
      </c>
      <c r="E67" s="16" t="s">
        <v>320</v>
      </c>
    </row>
    <row r="68" spans="1:5" ht="12.75">
      <c r="A68" s="12" t="s">
        <v>287</v>
      </c>
      <c r="B68" s="5" t="s">
        <v>51</v>
      </c>
      <c r="C68" s="5" t="s">
        <v>20</v>
      </c>
      <c r="D68" s="5" t="s">
        <v>321</v>
      </c>
      <c r="E68" s="16" t="s">
        <v>322</v>
      </c>
    </row>
    <row r="69" spans="1:5" ht="12.75">
      <c r="A69" s="12" t="s">
        <v>275</v>
      </c>
      <c r="B69" s="5" t="s">
        <v>51</v>
      </c>
      <c r="C69" s="5" t="s">
        <v>163</v>
      </c>
      <c r="D69" s="5" t="s">
        <v>323</v>
      </c>
      <c r="E69" s="16" t="s">
        <v>324</v>
      </c>
    </row>
    <row r="70" spans="1:5" ht="12.75">
      <c r="A70" s="12" t="s">
        <v>271</v>
      </c>
      <c r="B70" s="5" t="s">
        <v>51</v>
      </c>
      <c r="C70" s="5" t="s">
        <v>54</v>
      </c>
      <c r="D70" s="5" t="s">
        <v>325</v>
      </c>
      <c r="E70" s="16" t="s">
        <v>326</v>
      </c>
    </row>
  </sheetData>
  <sheetProtection/>
  <mergeCells count="22">
    <mergeCell ref="A14:T14"/>
    <mergeCell ref="A17:T17"/>
    <mergeCell ref="A20:T20"/>
    <mergeCell ref="A23:T23"/>
    <mergeCell ref="A26:T26"/>
    <mergeCell ref="A31:T31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8.375" style="5" bestFit="1" customWidth="1"/>
    <col min="5" max="5" width="22.75390625" style="5" bestFit="1" customWidth="1"/>
    <col min="6" max="6" width="39.00390625" style="5" bestFit="1" customWidth="1"/>
    <col min="7" max="10" width="5.625" style="4" bestFit="1" customWidth="1"/>
    <col min="11" max="11" width="7.875" style="5" bestFit="1" customWidth="1"/>
    <col min="12" max="12" width="8.625" style="4" bestFit="1" customWidth="1"/>
    <col min="13" max="13" width="17.75390625" style="5" bestFit="1" customWidth="1"/>
    <col min="14" max="16384" width="9.125" style="4" customWidth="1"/>
  </cols>
  <sheetData>
    <row r="1" spans="1:13" s="3" customFormat="1" ht="28.5" customHeight="1">
      <c r="A1" s="83" t="s">
        <v>801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3" customFormat="1" ht="61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1" customFormat="1" ht="12.75" customHeight="1">
      <c r="A3" s="89" t="s">
        <v>0</v>
      </c>
      <c r="B3" s="91" t="s">
        <v>9</v>
      </c>
      <c r="C3" s="91" t="s">
        <v>11</v>
      </c>
      <c r="D3" s="93" t="s">
        <v>12</v>
      </c>
      <c r="E3" s="93" t="s">
        <v>7</v>
      </c>
      <c r="F3" s="93" t="s">
        <v>10</v>
      </c>
      <c r="G3" s="93" t="s">
        <v>2</v>
      </c>
      <c r="H3" s="93"/>
      <c r="I3" s="93"/>
      <c r="J3" s="93"/>
      <c r="K3" s="93" t="s">
        <v>56</v>
      </c>
      <c r="L3" s="93" t="s">
        <v>6</v>
      </c>
      <c r="M3" s="77" t="s">
        <v>5</v>
      </c>
    </row>
    <row r="4" spans="1:13" s="1" customFormat="1" ht="21" customHeight="1" thickBot="1">
      <c r="A4" s="90"/>
      <c r="B4" s="92"/>
      <c r="C4" s="92"/>
      <c r="D4" s="92"/>
      <c r="E4" s="92"/>
      <c r="F4" s="92"/>
      <c r="G4" s="2">
        <v>1</v>
      </c>
      <c r="H4" s="2">
        <v>2</v>
      </c>
      <c r="I4" s="2">
        <v>3</v>
      </c>
      <c r="J4" s="2" t="s">
        <v>8</v>
      </c>
      <c r="K4" s="92"/>
      <c r="L4" s="92"/>
      <c r="M4" s="78"/>
    </row>
    <row r="5" spans="1:12" ht="15">
      <c r="A5" s="79" t="s">
        <v>143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12.75">
      <c r="A6" s="6" t="s">
        <v>145</v>
      </c>
      <c r="B6" s="6" t="s">
        <v>146</v>
      </c>
      <c r="C6" s="6" t="s">
        <v>147</v>
      </c>
      <c r="D6" s="6" t="str">
        <f>"1,1568"</f>
        <v>1,1568</v>
      </c>
      <c r="E6" s="6" t="s">
        <v>27</v>
      </c>
      <c r="F6" s="6" t="s">
        <v>28</v>
      </c>
      <c r="G6" s="8" t="s">
        <v>148</v>
      </c>
      <c r="H6" s="7" t="s">
        <v>149</v>
      </c>
      <c r="I6" s="7" t="s">
        <v>149</v>
      </c>
      <c r="J6" s="7"/>
      <c r="K6" s="6" t="str">
        <f>"35,0"</f>
        <v>35,0</v>
      </c>
      <c r="L6" s="8" t="str">
        <f>"40,4880"</f>
        <v>40,4880</v>
      </c>
      <c r="M6" s="6" t="s">
        <v>150</v>
      </c>
    </row>
    <row r="8" spans="1:12" ht="15">
      <c r="A8" s="81" t="s">
        <v>57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3" ht="12.75">
      <c r="A9" s="6" t="s">
        <v>152</v>
      </c>
      <c r="B9" s="6" t="s">
        <v>153</v>
      </c>
      <c r="C9" s="6" t="s">
        <v>154</v>
      </c>
      <c r="D9" s="6" t="str">
        <f>"0,8414"</f>
        <v>0,8414</v>
      </c>
      <c r="E9" s="6" t="s">
        <v>27</v>
      </c>
      <c r="F9" s="6" t="s">
        <v>28</v>
      </c>
      <c r="G9" s="8" t="s">
        <v>155</v>
      </c>
      <c r="H9" s="7" t="s">
        <v>156</v>
      </c>
      <c r="I9" s="7" t="s">
        <v>156</v>
      </c>
      <c r="J9" s="7"/>
      <c r="K9" s="6" t="str">
        <f>"65,0"</f>
        <v>65,0</v>
      </c>
      <c r="L9" s="8" t="str">
        <f>"55,7848"</f>
        <v>55,7848</v>
      </c>
      <c r="M9" s="6" t="s">
        <v>150</v>
      </c>
    </row>
    <row r="11" spans="1:12" ht="15">
      <c r="A11" s="81" t="s">
        <v>157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3" ht="12.75">
      <c r="A12" s="6" t="s">
        <v>159</v>
      </c>
      <c r="B12" s="6" t="s">
        <v>160</v>
      </c>
      <c r="C12" s="6" t="s">
        <v>161</v>
      </c>
      <c r="D12" s="6" t="str">
        <f>"0,8959"</f>
        <v>0,8959</v>
      </c>
      <c r="E12" s="6" t="s">
        <v>38</v>
      </c>
      <c r="F12" s="6" t="s">
        <v>162</v>
      </c>
      <c r="G12" s="8" t="s">
        <v>115</v>
      </c>
      <c r="H12" s="8" t="s">
        <v>163</v>
      </c>
      <c r="I12" s="7" t="s">
        <v>164</v>
      </c>
      <c r="J12" s="7"/>
      <c r="K12" s="6" t="str">
        <f>"90,0"</f>
        <v>90,0</v>
      </c>
      <c r="L12" s="8" t="str">
        <f>"80,6265"</f>
        <v>80,6265</v>
      </c>
      <c r="M12" s="6" t="s">
        <v>21</v>
      </c>
    </row>
    <row r="14" spans="1:12" ht="15">
      <c r="A14" s="81" t="s">
        <v>13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3" ht="12.75">
      <c r="A15" s="17" t="s">
        <v>166</v>
      </c>
      <c r="B15" s="17" t="s">
        <v>167</v>
      </c>
      <c r="C15" s="17" t="s">
        <v>168</v>
      </c>
      <c r="D15" s="17" t="str">
        <f>"0,6561"</f>
        <v>0,6561</v>
      </c>
      <c r="E15" s="17" t="s">
        <v>38</v>
      </c>
      <c r="F15" s="17" t="s">
        <v>169</v>
      </c>
      <c r="G15" s="19" t="s">
        <v>91</v>
      </c>
      <c r="H15" s="18" t="s">
        <v>76</v>
      </c>
      <c r="I15" s="18" t="s">
        <v>76</v>
      </c>
      <c r="J15" s="18"/>
      <c r="K15" s="17" t="str">
        <f>"140,0"</f>
        <v>140,0</v>
      </c>
      <c r="L15" s="19" t="str">
        <f>"91,8610"</f>
        <v>91,8610</v>
      </c>
      <c r="M15" s="17" t="s">
        <v>170</v>
      </c>
    </row>
    <row r="16" spans="1:13" ht="12.75">
      <c r="A16" s="20" t="s">
        <v>172</v>
      </c>
      <c r="B16" s="20" t="s">
        <v>173</v>
      </c>
      <c r="C16" s="20" t="s">
        <v>174</v>
      </c>
      <c r="D16" s="20" t="str">
        <f>"0,6482"</f>
        <v>0,6482</v>
      </c>
      <c r="E16" s="20" t="s">
        <v>38</v>
      </c>
      <c r="F16" s="20" t="s">
        <v>175</v>
      </c>
      <c r="G16" s="22" t="s">
        <v>163</v>
      </c>
      <c r="H16" s="22" t="s">
        <v>20</v>
      </c>
      <c r="I16" s="22" t="s">
        <v>176</v>
      </c>
      <c r="J16" s="21"/>
      <c r="K16" s="20" t="str">
        <f>"105,0"</f>
        <v>105,0</v>
      </c>
      <c r="L16" s="22" t="str">
        <f>"114,4105"</f>
        <v>114,4105</v>
      </c>
      <c r="M16" s="20" t="s">
        <v>21</v>
      </c>
    </row>
    <row r="18" spans="1:12" ht="15">
      <c r="A18" s="81" t="s">
        <v>177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3" ht="12.75">
      <c r="A19" s="17" t="s">
        <v>179</v>
      </c>
      <c r="B19" s="17" t="s">
        <v>180</v>
      </c>
      <c r="C19" s="17" t="s">
        <v>181</v>
      </c>
      <c r="D19" s="17" t="str">
        <f>"0,6145"</f>
        <v>0,6145</v>
      </c>
      <c r="E19" s="17" t="s">
        <v>38</v>
      </c>
      <c r="F19" s="17" t="s">
        <v>19</v>
      </c>
      <c r="G19" s="19" t="s">
        <v>124</v>
      </c>
      <c r="H19" s="19" t="s">
        <v>182</v>
      </c>
      <c r="I19" s="18" t="s">
        <v>99</v>
      </c>
      <c r="J19" s="18"/>
      <c r="K19" s="17" t="str">
        <f>"197,5"</f>
        <v>197,5</v>
      </c>
      <c r="L19" s="19" t="str">
        <f>"121,3736"</f>
        <v>121,3736</v>
      </c>
      <c r="M19" s="17" t="s">
        <v>21</v>
      </c>
    </row>
    <row r="20" spans="1:13" ht="12.75">
      <c r="A20" s="23" t="s">
        <v>184</v>
      </c>
      <c r="B20" s="23" t="s">
        <v>185</v>
      </c>
      <c r="C20" s="23" t="s">
        <v>186</v>
      </c>
      <c r="D20" s="23" t="str">
        <f>"0,6363"</f>
        <v>0,6363</v>
      </c>
      <c r="E20" s="23" t="s">
        <v>18</v>
      </c>
      <c r="F20" s="23" t="s">
        <v>19</v>
      </c>
      <c r="G20" s="25" t="s">
        <v>187</v>
      </c>
      <c r="H20" s="25" t="s">
        <v>123</v>
      </c>
      <c r="I20" s="24" t="s">
        <v>97</v>
      </c>
      <c r="J20" s="24"/>
      <c r="K20" s="23" t="str">
        <f>"165,0"</f>
        <v>165,0</v>
      </c>
      <c r="L20" s="25" t="str">
        <f>"104,9895"</f>
        <v>104,9895</v>
      </c>
      <c r="M20" s="23" t="s">
        <v>21</v>
      </c>
    </row>
    <row r="21" spans="1:13" ht="12.75">
      <c r="A21" s="20" t="s">
        <v>189</v>
      </c>
      <c r="B21" s="20" t="s">
        <v>190</v>
      </c>
      <c r="C21" s="20" t="s">
        <v>191</v>
      </c>
      <c r="D21" s="20" t="str">
        <f>"0,6197"</f>
        <v>0,6197</v>
      </c>
      <c r="E21" s="20" t="s">
        <v>38</v>
      </c>
      <c r="F21" s="20" t="s">
        <v>192</v>
      </c>
      <c r="G21" s="22" t="s">
        <v>187</v>
      </c>
      <c r="H21" s="22" t="s">
        <v>123</v>
      </c>
      <c r="I21" s="22" t="s">
        <v>137</v>
      </c>
      <c r="J21" s="22" t="s">
        <v>77</v>
      </c>
      <c r="K21" s="20" t="str">
        <f>"170,0"</f>
        <v>170,0</v>
      </c>
      <c r="L21" s="22" t="str">
        <f>"129,0525"</f>
        <v>129,0525</v>
      </c>
      <c r="M21" s="20" t="s">
        <v>21</v>
      </c>
    </row>
    <row r="23" spans="1:12" ht="15">
      <c r="A23" s="81" t="s">
        <v>85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3" ht="12.75">
      <c r="A24" s="17" t="s">
        <v>194</v>
      </c>
      <c r="B24" s="17" t="s">
        <v>195</v>
      </c>
      <c r="C24" s="17" t="s">
        <v>196</v>
      </c>
      <c r="D24" s="17" t="str">
        <f>"0,5870"</f>
        <v>0,5870</v>
      </c>
      <c r="E24" s="17" t="s">
        <v>38</v>
      </c>
      <c r="F24" s="17" t="s">
        <v>19</v>
      </c>
      <c r="G24" s="19" t="s">
        <v>123</v>
      </c>
      <c r="H24" s="19" t="s">
        <v>77</v>
      </c>
      <c r="I24" s="18" t="s">
        <v>197</v>
      </c>
      <c r="J24" s="18"/>
      <c r="K24" s="17" t="str">
        <f>"172,5"</f>
        <v>172,5</v>
      </c>
      <c r="L24" s="19" t="str">
        <f>"101,2489"</f>
        <v>101,2489</v>
      </c>
      <c r="M24" s="17" t="s">
        <v>198</v>
      </c>
    </row>
    <row r="25" spans="1:13" ht="12.75">
      <c r="A25" s="20" t="s">
        <v>200</v>
      </c>
      <c r="B25" s="20" t="s">
        <v>201</v>
      </c>
      <c r="C25" s="20" t="s">
        <v>202</v>
      </c>
      <c r="D25" s="20" t="str">
        <f>"0,5840"</f>
        <v>0,5840</v>
      </c>
      <c r="E25" s="20" t="s">
        <v>38</v>
      </c>
      <c r="F25" s="20" t="s">
        <v>19</v>
      </c>
      <c r="G25" s="22" t="s">
        <v>137</v>
      </c>
      <c r="H25" s="21" t="s">
        <v>97</v>
      </c>
      <c r="I25" s="21" t="s">
        <v>97</v>
      </c>
      <c r="J25" s="21"/>
      <c r="K25" s="20" t="str">
        <f>"170,0"</f>
        <v>170,0</v>
      </c>
      <c r="L25" s="22" t="str">
        <f>"99,2885"</f>
        <v>99,2885</v>
      </c>
      <c r="M25" s="20" t="s">
        <v>21</v>
      </c>
    </row>
    <row r="27" spans="1:12" ht="15">
      <c r="A27" s="81" t="s">
        <v>22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3" ht="12.75">
      <c r="A28" s="17" t="s">
        <v>204</v>
      </c>
      <c r="B28" s="17" t="s">
        <v>205</v>
      </c>
      <c r="C28" s="17" t="s">
        <v>206</v>
      </c>
      <c r="D28" s="17" t="str">
        <f>"0,5680"</f>
        <v>0,5680</v>
      </c>
      <c r="E28" s="17" t="s">
        <v>38</v>
      </c>
      <c r="F28" s="17" t="s">
        <v>19</v>
      </c>
      <c r="G28" s="19" t="s">
        <v>83</v>
      </c>
      <c r="H28" s="19" t="s">
        <v>123</v>
      </c>
      <c r="I28" s="18" t="s">
        <v>137</v>
      </c>
      <c r="J28" s="18"/>
      <c r="K28" s="17" t="str">
        <f>"165,0"</f>
        <v>165,0</v>
      </c>
      <c r="L28" s="19" t="str">
        <f>"96,6168"</f>
        <v>96,6168</v>
      </c>
      <c r="M28" s="17" t="s">
        <v>207</v>
      </c>
    </row>
    <row r="29" spans="1:13" ht="12.75">
      <c r="A29" s="20" t="s">
        <v>209</v>
      </c>
      <c r="B29" s="20" t="s">
        <v>210</v>
      </c>
      <c r="C29" s="20" t="s">
        <v>211</v>
      </c>
      <c r="D29" s="20" t="str">
        <f>"0,5731"</f>
        <v>0,5731</v>
      </c>
      <c r="E29" s="20" t="s">
        <v>27</v>
      </c>
      <c r="F29" s="20" t="s">
        <v>28</v>
      </c>
      <c r="G29" s="21" t="s">
        <v>125</v>
      </c>
      <c r="H29" s="21" t="s">
        <v>125</v>
      </c>
      <c r="I29" s="22" t="s">
        <v>125</v>
      </c>
      <c r="J29" s="21"/>
      <c r="K29" s="20" t="str">
        <f>"155,0"</f>
        <v>155,0</v>
      </c>
      <c r="L29" s="22" t="str">
        <f>"94,8792"</f>
        <v>94,8792</v>
      </c>
      <c r="M29" s="20" t="s">
        <v>21</v>
      </c>
    </row>
    <row r="31" spans="1:12" ht="15">
      <c r="A31" s="81" t="s">
        <v>212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3" ht="12.75">
      <c r="A32" s="6" t="s">
        <v>214</v>
      </c>
      <c r="B32" s="6" t="s">
        <v>215</v>
      </c>
      <c r="C32" s="6" t="s">
        <v>216</v>
      </c>
      <c r="D32" s="6" t="str">
        <f>"0,5446"</f>
        <v>0,5446</v>
      </c>
      <c r="E32" s="6" t="s">
        <v>217</v>
      </c>
      <c r="F32" s="6" t="s">
        <v>19</v>
      </c>
      <c r="G32" s="8" t="s">
        <v>99</v>
      </c>
      <c r="H32" s="7" t="s">
        <v>218</v>
      </c>
      <c r="I32" s="7"/>
      <c r="J32" s="7"/>
      <c r="K32" s="6" t="str">
        <f>"200,0"</f>
        <v>200,0</v>
      </c>
      <c r="L32" s="8" t="str">
        <f>"108,9180"</f>
        <v>108,9180</v>
      </c>
      <c r="M32" s="6" t="s">
        <v>21</v>
      </c>
    </row>
    <row r="34" ht="15">
      <c r="E34" s="9" t="s">
        <v>643</v>
      </c>
    </row>
    <row r="35" ht="15">
      <c r="E35" s="9" t="s">
        <v>646</v>
      </c>
    </row>
    <row r="36" ht="15">
      <c r="E36" s="9" t="s">
        <v>644</v>
      </c>
    </row>
    <row r="37" ht="15">
      <c r="E37" s="9" t="s">
        <v>645</v>
      </c>
    </row>
    <row r="38" ht="15">
      <c r="E38" s="9" t="s">
        <v>648</v>
      </c>
    </row>
    <row r="39" ht="15">
      <c r="E39" s="9" t="s">
        <v>647</v>
      </c>
    </row>
    <row r="40" ht="15">
      <c r="E40" s="9"/>
    </row>
    <row r="42" spans="1:2" ht="18">
      <c r="A42" s="10" t="s">
        <v>40</v>
      </c>
      <c r="B42" s="10"/>
    </row>
    <row r="43" spans="1:2" ht="15">
      <c r="A43" s="11" t="s">
        <v>100</v>
      </c>
      <c r="B43" s="11"/>
    </row>
    <row r="44" spans="1:2" ht="14.25">
      <c r="A44" s="13"/>
      <c r="B44" s="14" t="s">
        <v>51</v>
      </c>
    </row>
    <row r="45" spans="1:5" ht="15">
      <c r="A45" s="15" t="s">
        <v>43</v>
      </c>
      <c r="B45" s="15" t="s">
        <v>44</v>
      </c>
      <c r="C45" s="15" t="s">
        <v>45</v>
      </c>
      <c r="D45" s="15" t="s">
        <v>46</v>
      </c>
      <c r="E45" s="15" t="s">
        <v>47</v>
      </c>
    </row>
    <row r="46" spans="1:5" ht="12.75">
      <c r="A46" s="12" t="s">
        <v>144</v>
      </c>
      <c r="B46" s="5" t="s">
        <v>51</v>
      </c>
      <c r="C46" s="5" t="s">
        <v>219</v>
      </c>
      <c r="D46" s="5" t="s">
        <v>148</v>
      </c>
      <c r="E46" s="16" t="s">
        <v>220</v>
      </c>
    </row>
    <row r="48" spans="1:2" ht="14.25">
      <c r="A48" s="13"/>
      <c r="B48" s="14" t="s">
        <v>107</v>
      </c>
    </row>
    <row r="49" spans="1:5" ht="15">
      <c r="A49" s="15" t="s">
        <v>43</v>
      </c>
      <c r="B49" s="15" t="s">
        <v>44</v>
      </c>
      <c r="C49" s="15" t="s">
        <v>45</v>
      </c>
      <c r="D49" s="15" t="s">
        <v>46</v>
      </c>
      <c r="E49" s="15" t="s">
        <v>47</v>
      </c>
    </row>
    <row r="50" spans="1:5" ht="12.75">
      <c r="A50" s="12" t="s">
        <v>151</v>
      </c>
      <c r="B50" s="5" t="s">
        <v>221</v>
      </c>
      <c r="C50" s="5" t="s">
        <v>101</v>
      </c>
      <c r="D50" s="5" t="s">
        <v>155</v>
      </c>
      <c r="E50" s="16" t="s">
        <v>222</v>
      </c>
    </row>
    <row r="53" spans="1:2" ht="15">
      <c r="A53" s="11" t="s">
        <v>41</v>
      </c>
      <c r="B53" s="11"/>
    </row>
    <row r="54" spans="1:2" ht="14.25">
      <c r="A54" s="13"/>
      <c r="B54" s="14" t="s">
        <v>51</v>
      </c>
    </row>
    <row r="55" spans="1:5" ht="15">
      <c r="A55" s="15" t="s">
        <v>43</v>
      </c>
      <c r="B55" s="15" t="s">
        <v>44</v>
      </c>
      <c r="C55" s="15" t="s">
        <v>45</v>
      </c>
      <c r="D55" s="15" t="s">
        <v>46</v>
      </c>
      <c r="E55" s="15" t="s">
        <v>47</v>
      </c>
    </row>
    <row r="56" spans="1:5" ht="12.75">
      <c r="A56" s="12" t="s">
        <v>178</v>
      </c>
      <c r="B56" s="5" t="s">
        <v>51</v>
      </c>
      <c r="C56" s="5" t="s">
        <v>163</v>
      </c>
      <c r="D56" s="5" t="s">
        <v>182</v>
      </c>
      <c r="E56" s="16" t="s">
        <v>223</v>
      </c>
    </row>
    <row r="57" spans="1:5" ht="12.75">
      <c r="A57" s="12" t="s">
        <v>213</v>
      </c>
      <c r="B57" s="5" t="s">
        <v>51</v>
      </c>
      <c r="C57" s="5" t="s">
        <v>91</v>
      </c>
      <c r="D57" s="5" t="s">
        <v>99</v>
      </c>
      <c r="E57" s="16" t="s">
        <v>224</v>
      </c>
    </row>
    <row r="58" spans="1:5" ht="12.75">
      <c r="A58" s="12" t="s">
        <v>183</v>
      </c>
      <c r="B58" s="5" t="s">
        <v>51</v>
      </c>
      <c r="C58" s="5" t="s">
        <v>163</v>
      </c>
      <c r="D58" s="5" t="s">
        <v>123</v>
      </c>
      <c r="E58" s="16" t="s">
        <v>225</v>
      </c>
    </row>
    <row r="59" spans="1:5" ht="12.75">
      <c r="A59" s="12" t="s">
        <v>193</v>
      </c>
      <c r="B59" s="5" t="s">
        <v>51</v>
      </c>
      <c r="C59" s="5" t="s">
        <v>20</v>
      </c>
      <c r="D59" s="5" t="s">
        <v>77</v>
      </c>
      <c r="E59" s="16" t="s">
        <v>226</v>
      </c>
    </row>
    <row r="60" spans="1:5" ht="12.75">
      <c r="A60" s="12" t="s">
        <v>199</v>
      </c>
      <c r="B60" s="5" t="s">
        <v>51</v>
      </c>
      <c r="C60" s="5" t="s">
        <v>20</v>
      </c>
      <c r="D60" s="5" t="s">
        <v>137</v>
      </c>
      <c r="E60" s="16" t="s">
        <v>227</v>
      </c>
    </row>
    <row r="61" spans="1:5" ht="12.75">
      <c r="A61" s="12" t="s">
        <v>165</v>
      </c>
      <c r="B61" s="5" t="s">
        <v>51</v>
      </c>
      <c r="C61" s="5" t="s">
        <v>54</v>
      </c>
      <c r="D61" s="5" t="s">
        <v>91</v>
      </c>
      <c r="E61" s="16" t="s">
        <v>228</v>
      </c>
    </row>
    <row r="62" spans="1:5" ht="12.75">
      <c r="A62" s="12" t="s">
        <v>158</v>
      </c>
      <c r="B62" s="5" t="s">
        <v>51</v>
      </c>
      <c r="C62" s="5" t="s">
        <v>229</v>
      </c>
      <c r="D62" s="5" t="s">
        <v>163</v>
      </c>
      <c r="E62" s="16" t="s">
        <v>230</v>
      </c>
    </row>
    <row r="64" spans="1:2" ht="14.25">
      <c r="A64" s="13"/>
      <c r="B64" s="14" t="s">
        <v>107</v>
      </c>
    </row>
    <row r="65" spans="1:5" ht="15">
      <c r="A65" s="15" t="s">
        <v>43</v>
      </c>
      <c r="B65" s="15" t="s">
        <v>44</v>
      </c>
      <c r="C65" s="15" t="s">
        <v>45</v>
      </c>
      <c r="D65" s="15" t="s">
        <v>46</v>
      </c>
      <c r="E65" s="15" t="s">
        <v>47</v>
      </c>
    </row>
    <row r="66" spans="1:5" ht="12.75">
      <c r="A66" s="12" t="s">
        <v>188</v>
      </c>
      <c r="B66" s="5" t="s">
        <v>231</v>
      </c>
      <c r="C66" s="5" t="s">
        <v>163</v>
      </c>
      <c r="D66" s="5" t="s">
        <v>137</v>
      </c>
      <c r="E66" s="16" t="s">
        <v>232</v>
      </c>
    </row>
    <row r="67" spans="1:5" ht="12.75">
      <c r="A67" s="12" t="s">
        <v>171</v>
      </c>
      <c r="B67" s="5" t="s">
        <v>233</v>
      </c>
      <c r="C67" s="5" t="s">
        <v>54</v>
      </c>
      <c r="D67" s="5" t="s">
        <v>176</v>
      </c>
      <c r="E67" s="16" t="s">
        <v>234</v>
      </c>
    </row>
    <row r="68" spans="1:5" ht="12.75">
      <c r="A68" s="12" t="s">
        <v>203</v>
      </c>
      <c r="B68" s="5" t="s">
        <v>221</v>
      </c>
      <c r="C68" s="5" t="s">
        <v>52</v>
      </c>
      <c r="D68" s="5" t="s">
        <v>123</v>
      </c>
      <c r="E68" s="16" t="s">
        <v>235</v>
      </c>
    </row>
    <row r="69" spans="1:5" ht="12.75">
      <c r="A69" s="12" t="s">
        <v>208</v>
      </c>
      <c r="B69" s="5" t="s">
        <v>108</v>
      </c>
      <c r="C69" s="5" t="s">
        <v>52</v>
      </c>
      <c r="D69" s="5" t="s">
        <v>125</v>
      </c>
      <c r="E69" s="16" t="s">
        <v>236</v>
      </c>
    </row>
  </sheetData>
  <sheetProtection/>
  <mergeCells count="19">
    <mergeCell ref="A14:L14"/>
    <mergeCell ref="A18:L18"/>
    <mergeCell ref="A23:L23"/>
    <mergeCell ref="A27:L27"/>
    <mergeCell ref="A31:L31"/>
    <mergeCell ref="K3:K4"/>
    <mergeCell ref="L3:L4"/>
    <mergeCell ref="F3:F4"/>
    <mergeCell ref="G3:J3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Franz Rode</cp:lastModifiedBy>
  <cp:lastPrinted>2017-09-30T17:41:08Z</cp:lastPrinted>
  <dcterms:created xsi:type="dcterms:W3CDTF">2002-06-16T13:36:44Z</dcterms:created>
  <dcterms:modified xsi:type="dcterms:W3CDTF">2017-10-03T18:45:26Z</dcterms:modified>
  <cp:category/>
  <cp:version/>
  <cp:contentType/>
  <cp:contentStatus/>
</cp:coreProperties>
</file>